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kfs01\UserProfs\XA79\mstiles\Documents\FINANCIAL STATEMENTS\"/>
    </mc:Choice>
  </mc:AlternateContent>
  <bookViews>
    <workbookView xWindow="0" yWindow="0" windowWidth="28800" windowHeight="11775" activeTab="2"/>
  </bookViews>
  <sheets>
    <sheet name="Page 1" sheetId="1" r:id="rId1"/>
    <sheet name="POS Page 2" sheetId="2" r:id="rId2"/>
    <sheet name="OPS Page 3" sheetId="3" r:id="rId3"/>
    <sheet name="Prior Year" sheetId="4" r:id="rId4"/>
  </sheets>
  <externalReferences>
    <externalReference r:id="rId5"/>
    <externalReference r:id="rId6"/>
    <externalReference r:id="rId7"/>
  </externalReferences>
  <definedNames>
    <definedName name="_xlnm.Print_Area" localSheetId="2">'OPS Page 3'!$A$1:$G$37</definedName>
    <definedName name="_xlnm.Print_Area" localSheetId="0">'Page 1'!$A$3:$G$51</definedName>
    <definedName name="_xlnm.Print_Area" localSheetId="1">'POS Page 2'!$A$1:$G$32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" l="1"/>
  <c r="B26" i="3"/>
  <c r="B23" i="3"/>
  <c r="B25" i="3"/>
  <c r="B24" i="3"/>
  <c r="B22" i="3"/>
  <c r="B21" i="3"/>
  <c r="B20" i="3"/>
  <c r="B18" i="3"/>
  <c r="B17" i="3"/>
  <c r="B11" i="3"/>
  <c r="B10" i="3" l="1"/>
  <c r="B8" i="3"/>
  <c r="D11" i="1" l="1"/>
  <c r="E8" i="3" l="1"/>
  <c r="D31" i="2" l="1"/>
  <c r="D28" i="2" l="1"/>
  <c r="D28" i="3"/>
  <c r="C164" i="4"/>
  <c r="D164" i="4" s="1"/>
  <c r="E164" i="4" s="1"/>
  <c r="D163" i="4"/>
  <c r="E163" i="4" s="1"/>
  <c r="D162" i="4"/>
  <c r="E162" i="4" s="1"/>
  <c r="F141" i="4"/>
  <c r="C141" i="4"/>
  <c r="B141" i="4"/>
  <c r="A141" i="4"/>
  <c r="E140" i="4"/>
  <c r="E141" i="4" s="1"/>
  <c r="D140" i="4"/>
  <c r="D141" i="4" s="1"/>
  <c r="A140" i="4"/>
  <c r="F134" i="4"/>
  <c r="E134" i="4"/>
  <c r="C134" i="4"/>
  <c r="D133" i="4"/>
  <c r="D134" i="4" s="1"/>
  <c r="B133" i="4"/>
  <c r="B134" i="4" s="1"/>
  <c r="A127" i="4"/>
  <c r="D119" i="4"/>
  <c r="H118" i="4"/>
  <c r="G118" i="4"/>
  <c r="C118" i="4"/>
  <c r="E118" i="4" s="1"/>
  <c r="B118" i="4"/>
  <c r="G117" i="4"/>
  <c r="H117" i="4" s="1"/>
  <c r="H119" i="4" s="1"/>
  <c r="C117" i="4"/>
  <c r="B117" i="4"/>
  <c r="B119" i="4" s="1"/>
  <c r="H114" i="4"/>
  <c r="G114" i="4"/>
  <c r="E114" i="4"/>
  <c r="B114" i="4"/>
  <c r="G113" i="4"/>
  <c r="H113" i="4" s="1"/>
  <c r="C113" i="4"/>
  <c r="E113" i="4" s="1"/>
  <c r="B113" i="4"/>
  <c r="H112" i="4"/>
  <c r="G112" i="4"/>
  <c r="C112" i="4"/>
  <c r="B112" i="4"/>
  <c r="G111" i="4"/>
  <c r="H111" i="4" s="1"/>
  <c r="C111" i="4"/>
  <c r="E111" i="4" s="1"/>
  <c r="B111" i="4"/>
  <c r="G110" i="4"/>
  <c r="H110" i="4" s="1"/>
  <c r="C110" i="4"/>
  <c r="E110" i="4" s="1"/>
  <c r="B110" i="4"/>
  <c r="G109" i="4"/>
  <c r="H109" i="4" s="1"/>
  <c r="C109" i="4"/>
  <c r="E109" i="4" s="1"/>
  <c r="B109" i="4"/>
  <c r="G108" i="4"/>
  <c r="H108" i="4" s="1"/>
  <c r="C108" i="4"/>
  <c r="E108" i="4" s="1"/>
  <c r="B108" i="4"/>
  <c r="H107" i="4"/>
  <c r="G107" i="4"/>
  <c r="C107" i="4"/>
  <c r="E107" i="4" s="1"/>
  <c r="B107" i="4"/>
  <c r="G106" i="4"/>
  <c r="H106" i="4" s="1"/>
  <c r="C106" i="4"/>
  <c r="E106" i="4" s="1"/>
  <c r="B106" i="4"/>
  <c r="G105" i="4"/>
  <c r="H105" i="4" s="1"/>
  <c r="C105" i="4"/>
  <c r="E105" i="4" s="1"/>
  <c r="B105" i="4"/>
  <c r="H104" i="4"/>
  <c r="G104" i="4"/>
  <c r="D104" i="4"/>
  <c r="C104" i="4"/>
  <c r="E104" i="4" s="1"/>
  <c r="B104" i="4"/>
  <c r="G103" i="4"/>
  <c r="H103" i="4" s="1"/>
  <c r="C103" i="4"/>
  <c r="E103" i="4" s="1"/>
  <c r="B103" i="4"/>
  <c r="G102" i="4"/>
  <c r="H102" i="4" s="1"/>
  <c r="C102" i="4"/>
  <c r="E102" i="4" s="1"/>
  <c r="B102" i="4"/>
  <c r="H101" i="4"/>
  <c r="G101" i="4"/>
  <c r="C101" i="4"/>
  <c r="E101" i="4" s="1"/>
  <c r="B101" i="4"/>
  <c r="G100" i="4"/>
  <c r="H100" i="4" s="1"/>
  <c r="C100" i="4"/>
  <c r="E100" i="4" s="1"/>
  <c r="B100" i="4"/>
  <c r="D99" i="4"/>
  <c r="D115" i="4" s="1"/>
  <c r="D120" i="4" s="1"/>
  <c r="D123" i="4" s="1"/>
  <c r="C99" i="4"/>
  <c r="E99" i="4" s="1"/>
  <c r="B99" i="4"/>
  <c r="H98" i="4"/>
  <c r="G98" i="4"/>
  <c r="C98" i="4"/>
  <c r="E98" i="4" s="1"/>
  <c r="B98" i="4"/>
  <c r="G97" i="4"/>
  <c r="H97" i="4" s="1"/>
  <c r="C97" i="4"/>
  <c r="E97" i="4" s="1"/>
  <c r="B97" i="4"/>
  <c r="G96" i="4"/>
  <c r="H96" i="4" s="1"/>
  <c r="C96" i="4"/>
  <c r="E96" i="4" s="1"/>
  <c r="B96" i="4"/>
  <c r="G95" i="4"/>
  <c r="H95" i="4" s="1"/>
  <c r="C95" i="4"/>
  <c r="E95" i="4" s="1"/>
  <c r="B95" i="4"/>
  <c r="G94" i="4"/>
  <c r="H94" i="4" s="1"/>
  <c r="C94" i="4"/>
  <c r="E94" i="4" s="1"/>
  <c r="B94" i="4"/>
  <c r="H93" i="4"/>
  <c r="G93" i="4"/>
  <c r="C93" i="4"/>
  <c r="E93" i="4" s="1"/>
  <c r="B93" i="4"/>
  <c r="G92" i="4"/>
  <c r="H92" i="4" s="1"/>
  <c r="E92" i="4"/>
  <c r="C92" i="4"/>
  <c r="B92" i="4"/>
  <c r="G91" i="4"/>
  <c r="H91" i="4" s="1"/>
  <c r="C91" i="4"/>
  <c r="E91" i="4" s="1"/>
  <c r="B91" i="4"/>
  <c r="H90" i="4"/>
  <c r="G90" i="4"/>
  <c r="D90" i="4"/>
  <c r="C90" i="4"/>
  <c r="E90" i="4" s="1"/>
  <c r="B90" i="4"/>
  <c r="D88" i="4"/>
  <c r="G87" i="4"/>
  <c r="H87" i="4" s="1"/>
  <c r="C87" i="4"/>
  <c r="E87" i="4" s="1"/>
  <c r="B87" i="4"/>
  <c r="H86" i="4"/>
  <c r="G86" i="4"/>
  <c r="C86" i="4"/>
  <c r="E86" i="4" s="1"/>
  <c r="B86" i="4"/>
  <c r="G85" i="4"/>
  <c r="H85" i="4" s="1"/>
  <c r="E85" i="4"/>
  <c r="C85" i="4"/>
  <c r="B85" i="4"/>
  <c r="G84" i="4"/>
  <c r="H84" i="4" s="1"/>
  <c r="H88" i="4" s="1"/>
  <c r="C84" i="4"/>
  <c r="C88" i="4" s="1"/>
  <c r="B84" i="4"/>
  <c r="A79" i="4"/>
  <c r="A78" i="4"/>
  <c r="G72" i="4"/>
  <c r="G70" i="4"/>
  <c r="H70" i="4" s="1"/>
  <c r="C70" i="4"/>
  <c r="E70" i="4" s="1"/>
  <c r="B70" i="4"/>
  <c r="G69" i="4"/>
  <c r="D68" i="4"/>
  <c r="D71" i="4" s="1"/>
  <c r="D74" i="4" s="1"/>
  <c r="H67" i="4"/>
  <c r="G67" i="4"/>
  <c r="C67" i="4"/>
  <c r="E67" i="4" s="1"/>
  <c r="B67" i="4"/>
  <c r="G66" i="4"/>
  <c r="H66" i="4" s="1"/>
  <c r="C66" i="4"/>
  <c r="E66" i="4" s="1"/>
  <c r="B66" i="4"/>
  <c r="D65" i="4"/>
  <c r="G65" i="4" s="1"/>
  <c r="H65" i="4" s="1"/>
  <c r="C65" i="4"/>
  <c r="E65" i="4" s="1"/>
  <c r="B65" i="4"/>
  <c r="H64" i="4"/>
  <c r="G64" i="4"/>
  <c r="C64" i="4"/>
  <c r="E64" i="4" s="1"/>
  <c r="B64" i="4"/>
  <c r="G63" i="4"/>
  <c r="H63" i="4" s="1"/>
  <c r="C63" i="4"/>
  <c r="E63" i="4" s="1"/>
  <c r="B63" i="4"/>
  <c r="G62" i="4"/>
  <c r="H62" i="4" s="1"/>
  <c r="C62" i="4"/>
  <c r="E62" i="4" s="1"/>
  <c r="B62" i="4"/>
  <c r="H61" i="4"/>
  <c r="G61" i="4"/>
  <c r="C61" i="4"/>
  <c r="E61" i="4" s="1"/>
  <c r="B61" i="4"/>
  <c r="G60" i="4"/>
  <c r="H60" i="4" s="1"/>
  <c r="C60" i="4"/>
  <c r="E60" i="4" s="1"/>
  <c r="B60" i="4"/>
  <c r="D59" i="4"/>
  <c r="G59" i="4" s="1"/>
  <c r="H59" i="4" s="1"/>
  <c r="C59" i="4"/>
  <c r="E59" i="4" s="1"/>
  <c r="B59" i="4"/>
  <c r="H58" i="4"/>
  <c r="G58" i="4"/>
  <c r="D58" i="4"/>
  <c r="C58" i="4"/>
  <c r="E58" i="4" s="1"/>
  <c r="B58" i="4"/>
  <c r="G57" i="4"/>
  <c r="H57" i="4" s="1"/>
  <c r="E57" i="4"/>
  <c r="D57" i="4"/>
  <c r="C57" i="4"/>
  <c r="B57" i="4"/>
  <c r="G56" i="4"/>
  <c r="H56" i="4" s="1"/>
  <c r="C56" i="4"/>
  <c r="E56" i="4" s="1"/>
  <c r="B56" i="4"/>
  <c r="H55" i="4"/>
  <c r="G55" i="4"/>
  <c r="C55" i="4"/>
  <c r="E55" i="4" s="1"/>
  <c r="B55" i="4"/>
  <c r="G54" i="4"/>
  <c r="H54" i="4" s="1"/>
  <c r="E54" i="4"/>
  <c r="D54" i="4"/>
  <c r="C54" i="4"/>
  <c r="B54" i="4"/>
  <c r="G53" i="4"/>
  <c r="H53" i="4" s="1"/>
  <c r="C53" i="4"/>
  <c r="E53" i="4" s="1"/>
  <c r="B53" i="4"/>
  <c r="H52" i="4"/>
  <c r="G52" i="4"/>
  <c r="C52" i="4"/>
  <c r="E52" i="4" s="1"/>
  <c r="B52" i="4"/>
  <c r="G51" i="4"/>
  <c r="H51" i="4" s="1"/>
  <c r="E51" i="4"/>
  <c r="C51" i="4"/>
  <c r="B51" i="4"/>
  <c r="G50" i="4"/>
  <c r="H50" i="4" s="1"/>
  <c r="C50" i="4"/>
  <c r="E50" i="4" s="1"/>
  <c r="B50" i="4"/>
  <c r="H49" i="4"/>
  <c r="G49" i="4"/>
  <c r="C49" i="4"/>
  <c r="E49" i="4" s="1"/>
  <c r="B49" i="4"/>
  <c r="G48" i="4"/>
  <c r="H48" i="4" s="1"/>
  <c r="C48" i="4"/>
  <c r="B48" i="4"/>
  <c r="D47" i="4"/>
  <c r="G47" i="4" s="1"/>
  <c r="H47" i="4" s="1"/>
  <c r="C47" i="4"/>
  <c r="E47" i="4" s="1"/>
  <c r="B47" i="4"/>
  <c r="C41" i="4"/>
  <c r="B41" i="4"/>
  <c r="C40" i="4"/>
  <c r="B40" i="4"/>
  <c r="C39" i="4"/>
  <c r="B39" i="4"/>
  <c r="C38" i="4"/>
  <c r="B38" i="4"/>
  <c r="C37" i="4"/>
  <c r="B37" i="4"/>
  <c r="C36" i="4"/>
  <c r="B36" i="4"/>
  <c r="C35" i="4"/>
  <c r="B35" i="4"/>
  <c r="C25" i="4"/>
  <c r="D14" i="4"/>
  <c r="D17" i="4" s="1"/>
  <c r="C14" i="4"/>
  <c r="C17" i="4" s="1"/>
  <c r="E9" i="4"/>
  <c r="E8" i="4"/>
  <c r="E14" i="4" s="1"/>
  <c r="E17" i="4" s="1"/>
  <c r="C68" i="4" l="1"/>
  <c r="B68" i="4"/>
  <c r="B71" i="4" s="1"/>
  <c r="B74" i="4" s="1"/>
  <c r="B88" i="4"/>
  <c r="B115" i="4" s="1"/>
  <c r="B120" i="4" s="1"/>
  <c r="B123" i="4" s="1"/>
  <c r="C119" i="4"/>
  <c r="E119" i="4" s="1"/>
  <c r="C42" i="4"/>
  <c r="B42" i="4"/>
  <c r="G115" i="4"/>
  <c r="H68" i="4"/>
  <c r="H71" i="4" s="1"/>
  <c r="E68" i="4"/>
  <c r="C71" i="4"/>
  <c r="E88" i="4"/>
  <c r="C115" i="4"/>
  <c r="G68" i="4"/>
  <c r="G71" i="4" s="1"/>
  <c r="G99" i="4"/>
  <c r="H99" i="4" s="1"/>
  <c r="H115" i="4" s="1"/>
  <c r="G119" i="4"/>
  <c r="E48" i="4"/>
  <c r="G88" i="4"/>
  <c r="E117" i="4"/>
  <c r="E84" i="4"/>
  <c r="C120" i="4" l="1"/>
  <c r="E115" i="4"/>
  <c r="E71" i="4"/>
  <c r="E74" i="4" s="1"/>
  <c r="C74" i="4"/>
  <c r="G120" i="4"/>
  <c r="E120" i="4" l="1"/>
  <c r="E123" i="4" s="1"/>
  <c r="C123" i="4"/>
  <c r="E18" i="3" l="1"/>
  <c r="B9" i="3" l="1"/>
  <c r="E22" i="3" l="1"/>
  <c r="E25" i="3"/>
  <c r="F25" i="3"/>
  <c r="E21" i="3"/>
  <c r="F18" i="3"/>
  <c r="E10" i="3"/>
  <c r="E11" i="3"/>
  <c r="E9" i="3"/>
  <c r="E20" i="3"/>
  <c r="E10" i="2"/>
  <c r="E15" i="2"/>
  <c r="E9" i="2"/>
  <c r="E8" i="2"/>
  <c r="E12" i="2"/>
  <c r="F22" i="3"/>
  <c r="E24" i="3"/>
  <c r="F8" i="3"/>
  <c r="F19" i="3"/>
  <c r="F20" i="3"/>
  <c r="F21" i="3"/>
  <c r="F23" i="3"/>
  <c r="F24" i="3"/>
  <c r="F26" i="3"/>
  <c r="F27" i="3"/>
  <c r="F17" i="3"/>
  <c r="F9" i="3" l="1"/>
  <c r="F10" i="3"/>
  <c r="F11" i="3"/>
  <c r="F26" i="2"/>
  <c r="F2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7" i="2"/>
  <c r="B27" i="3" l="1"/>
  <c r="F50" i="1" l="1"/>
  <c r="E50" i="1"/>
  <c r="G46" i="1"/>
  <c r="F46" i="1"/>
  <c r="E46" i="1"/>
  <c r="D46" i="1"/>
  <c r="C46" i="1"/>
  <c r="G45" i="1"/>
  <c r="F45" i="1"/>
  <c r="E45" i="1"/>
  <c r="D45" i="1"/>
  <c r="C45" i="1"/>
  <c r="F42" i="1"/>
  <c r="E42" i="1"/>
  <c r="D42" i="1"/>
  <c r="C42" i="1"/>
  <c r="F41" i="1"/>
  <c r="G41" i="1"/>
  <c r="E41" i="1"/>
  <c r="D41" i="1"/>
  <c r="C41" i="1"/>
  <c r="C30" i="2" l="1"/>
  <c r="C9" i="3"/>
  <c r="C27" i="3"/>
  <c r="C23" i="3"/>
  <c r="D29" i="1" l="1"/>
  <c r="E28" i="2" l="1"/>
  <c r="G28" i="2" s="1"/>
  <c r="I28" i="2"/>
  <c r="C49" i="1" l="1"/>
  <c r="D49" i="1"/>
  <c r="E49" i="1"/>
  <c r="F49" i="1"/>
  <c r="G49" i="1"/>
  <c r="C50" i="1"/>
  <c r="D50" i="1"/>
  <c r="G50" i="1"/>
  <c r="E23" i="3"/>
  <c r="B12" i="3" l="1"/>
  <c r="B28" i="3" s="1"/>
  <c r="C12" i="3" l="1"/>
  <c r="C28" i="3" l="1"/>
  <c r="E12" i="3"/>
  <c r="E31" i="2"/>
  <c r="C28" i="2"/>
  <c r="C31" i="2" s="1"/>
  <c r="B28" i="2"/>
  <c r="G27" i="2"/>
  <c r="H27" i="2" s="1"/>
  <c r="G20" i="2"/>
  <c r="H20" i="2" s="1"/>
  <c r="G19" i="2"/>
  <c r="H19" i="2" s="1"/>
  <c r="G12" i="2"/>
  <c r="H12" i="2" s="1"/>
  <c r="G11" i="2"/>
  <c r="H11" i="2" s="1"/>
  <c r="D15" i="1"/>
  <c r="B31" i="2" l="1"/>
  <c r="F31" i="2" s="1"/>
  <c r="F28" i="2"/>
  <c r="E28" i="3"/>
  <c r="F12" i="3"/>
  <c r="G13" i="2"/>
  <c r="H13" i="2" s="1"/>
  <c r="G21" i="2"/>
  <c r="H21" i="2" s="1"/>
  <c r="G16" i="2"/>
  <c r="H16" i="2" s="1"/>
  <c r="G9" i="2"/>
  <c r="H9" i="2" s="1"/>
  <c r="G17" i="2"/>
  <c r="H17" i="2" s="1"/>
  <c r="G25" i="2"/>
  <c r="H25" i="2" s="1"/>
  <c r="G14" i="2"/>
  <c r="H14" i="2" s="1"/>
  <c r="G22" i="2"/>
  <c r="H22" i="2" s="1"/>
  <c r="G7" i="2"/>
  <c r="H7" i="2" s="1"/>
  <c r="G15" i="2"/>
  <c r="H15" i="2" s="1"/>
  <c r="G23" i="2"/>
  <c r="H23" i="2" s="1"/>
  <c r="G8" i="2"/>
  <c r="H8" i="2" s="1"/>
  <c r="G24" i="2"/>
  <c r="H24" i="2" s="1"/>
  <c r="G10" i="2"/>
  <c r="H10" i="2" s="1"/>
  <c r="G18" i="2"/>
  <c r="H18" i="2" s="1"/>
  <c r="G26" i="2"/>
  <c r="H26" i="2" s="1"/>
  <c r="F28" i="3" l="1"/>
  <c r="H28" i="2"/>
</calcChain>
</file>

<file path=xl/sharedStrings.xml><?xml version="1.0" encoding="utf-8"?>
<sst xmlns="http://schemas.openxmlformats.org/spreadsheetml/2006/main" count="236" uniqueCount="156">
  <si>
    <t>Revenue</t>
  </si>
  <si>
    <t>YTD</t>
  </si>
  <si>
    <t>State Income Current Year</t>
  </si>
  <si>
    <t>Foster Grandparents/Senior Companion</t>
  </si>
  <si>
    <t>Interest Income</t>
  </si>
  <si>
    <t>Other Income</t>
  </si>
  <si>
    <t>Vendorization Training</t>
  </si>
  <si>
    <t>ICF-SPA Income</t>
  </si>
  <si>
    <t>ICF-SPA Fee</t>
  </si>
  <si>
    <t>Total Income</t>
  </si>
  <si>
    <t>Cash Balance</t>
  </si>
  <si>
    <t>Poppellwell Fund</t>
  </si>
  <si>
    <t>Accounts Receivable:</t>
  </si>
  <si>
    <t xml:space="preserve">     Current Year</t>
  </si>
  <si>
    <t xml:space="preserve">     Prior Years</t>
  </si>
  <si>
    <t xml:space="preserve">     SPA </t>
  </si>
  <si>
    <t>Total</t>
  </si>
  <si>
    <t>Due to State</t>
  </si>
  <si>
    <t>Valley Mountain Regional Center Contracts Current and Past Two Years</t>
  </si>
  <si>
    <t>OPS</t>
  </si>
  <si>
    <t>OPS CPP</t>
  </si>
  <si>
    <t>POS</t>
  </si>
  <si>
    <t>FG/SC</t>
  </si>
  <si>
    <t>Unspent</t>
  </si>
  <si>
    <t>POS EXPENDITURES</t>
  </si>
  <si>
    <t xml:space="preserve"> Year to Date</t>
  </si>
  <si>
    <t>Prior Year to Date</t>
  </si>
  <si>
    <t>Budget</t>
  </si>
  <si>
    <t>% of Total Budget</t>
  </si>
  <si>
    <t>Community Care Facility</t>
  </si>
  <si>
    <t>ICF/SNF FACILITY</t>
  </si>
  <si>
    <t>Day Care</t>
  </si>
  <si>
    <t>Day Training</t>
  </si>
  <si>
    <t>Supported Employment</t>
  </si>
  <si>
    <t>Work Activity Program</t>
  </si>
  <si>
    <t>Non-Medical Services-Professional</t>
  </si>
  <si>
    <t>Non-Medical Services-Programs</t>
  </si>
  <si>
    <t>Home Care Services-Programs</t>
  </si>
  <si>
    <t>Transportation</t>
  </si>
  <si>
    <t>Transportation Contracts</t>
  </si>
  <si>
    <t>Prevention Services</t>
  </si>
  <si>
    <t>Other Authorized Services</t>
  </si>
  <si>
    <t>P&amp;I Expense</t>
  </si>
  <si>
    <t>Hospital Care</t>
  </si>
  <si>
    <t>Medical Equipment</t>
  </si>
  <si>
    <t>Medical Care Professional Services</t>
  </si>
  <si>
    <t>Medical Care-Program Services</t>
  </si>
  <si>
    <t>Respite-in-Home</t>
  </si>
  <si>
    <t>Respite Out-of-Home</t>
  </si>
  <si>
    <t>Camps</t>
  </si>
  <si>
    <t>CPP</t>
  </si>
  <si>
    <t>Total Purchase of Service</t>
  </si>
  <si>
    <t>OPERATIONS EXPENDITURES</t>
  </si>
  <si>
    <t>Salaries and Wages</t>
  </si>
  <si>
    <t>Temporary Help</t>
  </si>
  <si>
    <t>Fringe Benefits</t>
  </si>
  <si>
    <t>Contracted Employees</t>
  </si>
  <si>
    <t>Salaries and Benefits Total</t>
  </si>
  <si>
    <t>Facilities Rent</t>
  </si>
  <si>
    <t>Facilities Maintenance</t>
  </si>
  <si>
    <t>Information Technology</t>
  </si>
  <si>
    <t>General Office Expense</t>
  </si>
  <si>
    <t>Operating Expenses</t>
  </si>
  <si>
    <t>% Increase</t>
  </si>
  <si>
    <t>Equipment</t>
  </si>
  <si>
    <t>Professional Expenses</t>
  </si>
  <si>
    <t>Office Expenses</t>
  </si>
  <si>
    <t>Travel and Training Expenses</t>
  </si>
  <si>
    <t>Foster Grandparent/Senior Companion Expenses</t>
  </si>
  <si>
    <t>CPP Expense</t>
  </si>
  <si>
    <t>Total Operating Expenses</t>
  </si>
  <si>
    <r>
      <rPr>
        <b/>
        <sz val="13"/>
        <color rgb="FF000000"/>
        <rFont val="Times New Roman"/>
        <family val="1"/>
      </rPr>
      <t>Operating Expenses</t>
    </r>
    <r>
      <rPr>
        <sz val="13"/>
        <color rgb="FF000000"/>
        <rFont val="Times New Roman"/>
        <family val="1"/>
      </rPr>
      <t>: Telephone, Utilities</t>
    </r>
  </si>
  <si>
    <r>
      <rPr>
        <b/>
        <sz val="13"/>
        <color rgb="FF000000"/>
        <rFont val="Times New Roman"/>
        <family val="1"/>
      </rPr>
      <t>Equipment</t>
    </r>
    <r>
      <rPr>
        <sz val="13"/>
        <color rgb="FF000000"/>
        <rFont val="Times New Roman"/>
        <family val="1"/>
      </rPr>
      <t>: Equipment Purchases, Equipment Contract Leases</t>
    </r>
  </si>
  <si>
    <r>
      <rPr>
        <b/>
        <sz val="13"/>
        <color rgb="FF000000"/>
        <rFont val="Times New Roman"/>
        <family val="1"/>
      </rPr>
      <t>Professional Expenses</t>
    </r>
    <r>
      <rPr>
        <sz val="13"/>
        <color rgb="FF000000"/>
        <rFont val="Times New Roman"/>
        <family val="1"/>
      </rPr>
      <t>: Accounting Fees, Advertising, ARCA Dues, Bank Fees, Consultants, Insurance, Interest, Legal Fees, Fees, Licenses and Miscellaneous</t>
    </r>
  </si>
  <si>
    <r>
      <rPr>
        <b/>
        <sz val="13"/>
        <color rgb="FF000000"/>
        <rFont val="Times New Roman"/>
        <family val="1"/>
      </rPr>
      <t>Office Expenses</t>
    </r>
    <r>
      <rPr>
        <sz val="13"/>
        <color rgb="FF000000"/>
        <rFont val="Times New Roman"/>
        <family val="1"/>
      </rPr>
      <t>: Consumer Medical Record Fees, Postage and Shipping, Printing</t>
    </r>
  </si>
  <si>
    <r>
      <rPr>
        <b/>
        <sz val="13"/>
        <color rgb="FF000000"/>
        <rFont val="Times New Roman"/>
        <family val="1"/>
      </rPr>
      <t>Travel and Training Expenses</t>
    </r>
    <r>
      <rPr>
        <sz val="13"/>
        <color rgb="FF000000"/>
        <rFont val="Times New Roman"/>
        <family val="1"/>
      </rPr>
      <t>: Board of Director Expense, Travel Admin, Travel Consumer Services</t>
    </r>
  </si>
  <si>
    <t>Valley Mountain Regional Center</t>
  </si>
  <si>
    <r>
      <t>Contract Status Report,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in thousands</t>
    </r>
  </si>
  <si>
    <t xml:space="preserve">Purchase of Service, Including CPP </t>
  </si>
  <si>
    <t>Operations</t>
  </si>
  <si>
    <t>DDS Contracts</t>
  </si>
  <si>
    <t xml:space="preserve">Total </t>
  </si>
  <si>
    <t>DDS original</t>
  </si>
  <si>
    <t>D</t>
  </si>
  <si>
    <t>Amendment:</t>
  </si>
  <si>
    <t>Total DDS Operating Contracts</t>
  </si>
  <si>
    <t>Prior year to final</t>
  </si>
  <si>
    <t>Percentage increase</t>
  </si>
  <si>
    <t>State Claims due to VMRC</t>
  </si>
  <si>
    <t>Advances from State</t>
  </si>
  <si>
    <t>Net</t>
  </si>
  <si>
    <t>Contract Status Report</t>
  </si>
  <si>
    <t xml:space="preserve"> </t>
  </si>
  <si>
    <t>REVENUE</t>
  </si>
  <si>
    <t>Current</t>
  </si>
  <si>
    <t>Percentage Spent YTD</t>
  </si>
  <si>
    <t>Prior Year to Date (no late billing)</t>
  </si>
  <si>
    <t>Percentage Increase (Decrease)</t>
  </si>
  <si>
    <t>Equipment Contract leases</t>
  </si>
  <si>
    <t xml:space="preserve">Telephone </t>
  </si>
  <si>
    <t xml:space="preserve">Postage and Shipping </t>
  </si>
  <si>
    <t>Insurance</t>
  </si>
  <si>
    <t>Printing</t>
  </si>
  <si>
    <t>Utilities</t>
  </si>
  <si>
    <t>Bank Fees</t>
  </si>
  <si>
    <t>Legal Fees</t>
  </si>
  <si>
    <t>Board of Director Expense</t>
  </si>
  <si>
    <t>Accounting Fees</t>
  </si>
  <si>
    <t>Equipment Purchases</t>
  </si>
  <si>
    <t>Consultants</t>
  </si>
  <si>
    <t>Travel Administration</t>
  </si>
  <si>
    <t>Travel Consumer Services</t>
  </si>
  <si>
    <t>Dues and Subscriptions</t>
  </si>
  <si>
    <t>Consumer Medical Record Fees</t>
  </si>
  <si>
    <t>ARCA dues</t>
  </si>
  <si>
    <t>Advertising</t>
  </si>
  <si>
    <t>Educational materials</t>
  </si>
  <si>
    <t>Interest expense</t>
  </si>
  <si>
    <t>Fees, licenses and miscellaneous</t>
  </si>
  <si>
    <t xml:space="preserve">Prior Year to Date </t>
  </si>
  <si>
    <t>Prior Years Contract Status</t>
  </si>
  <si>
    <t>Last Fiscal Year - C</t>
  </si>
  <si>
    <t>Fiscal Year 2016-2017</t>
  </si>
  <si>
    <t>POS CPP</t>
  </si>
  <si>
    <t>6/30/17 Unbilled Contract Balance</t>
  </si>
  <si>
    <t>Billied in Current FY 2018</t>
  </si>
  <si>
    <t>2nd Prior Fiscal Year - B</t>
  </si>
  <si>
    <t>Fiscal Year 2015-2016</t>
  </si>
  <si>
    <t>Key Fiscal Procedure Checklist</t>
  </si>
  <si>
    <t>Bank Reconciliations</t>
  </si>
  <si>
    <t>Bank credits reviewed</t>
  </si>
  <si>
    <t>Subsidiary ledgers reconciled to general ledger</t>
  </si>
  <si>
    <t>Interfund payables/receivables match</t>
  </si>
  <si>
    <t>Trial balances match for all funds</t>
  </si>
  <si>
    <t>Case Load to date</t>
  </si>
  <si>
    <t>FY 14-15</t>
  </si>
  <si>
    <t>FY 15-16</t>
  </si>
  <si>
    <t>Increase</t>
  </si>
  <si>
    <t>year</t>
  </si>
  <si>
    <t>annualized</t>
  </si>
  <si>
    <t>Case Load</t>
  </si>
  <si>
    <t>Paid to date</t>
  </si>
  <si>
    <t>Avg. cost per consumer</t>
  </si>
  <si>
    <t>Current Fiscal Year 2019 Contract Year E-1</t>
  </si>
  <si>
    <t>Last Fiscal Year 2018 Contract Year D-3</t>
  </si>
  <si>
    <t>OPERATIONS  EXPENDITURES</t>
  </si>
  <si>
    <t xml:space="preserve">D - 1 </t>
  </si>
  <si>
    <t>Second Prior Fiscal Year 2017 Contract Year C-5</t>
  </si>
  <si>
    <t>Through September 2017, of FY 2017-18, 25.0% of the Budget Year</t>
  </si>
  <si>
    <t>Balance at 09/30/2017</t>
  </si>
  <si>
    <t>State Income Prior Year</t>
  </si>
  <si>
    <t>November 2017</t>
  </si>
  <si>
    <t>41.7% of Fiscal Year Completed</t>
  </si>
  <si>
    <t>Changes to Budget</t>
  </si>
  <si>
    <t>Cash, Accounts Receivable and Due to State as of December 31,2018</t>
  </si>
  <si>
    <t>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</si>
</sst>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_(&quot;$&quot;* #,##0_);_(&quot;$&quot;* \(#,##0\);_(&quot;$&quot;* &quot;-&quot;??_);_(@_)"/>
    <numFmt numFmtId="168" formatCode="_(* #,##0.0000_);_(* \(#,##0.0000\);_(* &quot;-&quot;??_);_(@_)"/>
    <numFmt numFmtId="169" formatCode="m/d/yyyy;@"/>
    <numFmt numFmtId="170" formatCode="0.00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sz val="12"/>
      <color rgb="FFFFFFFF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b/>
      <sz val="12"/>
      <name val="Times New Roman"/>
      <family val="1"/>
    </font>
    <font>
      <b/>
      <sz val="16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2"/>
      <color rgb="FF00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1"/>
      <color theme="1"/>
      <name val="Calibri"/>
      <family val="2"/>
    </font>
    <font>
      <sz val="11"/>
      <color rgb="FFFFFFFF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3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i/>
      <sz val="10"/>
      <color rgb="FFFF0000"/>
      <name val="Arial"/>
      <family val="2"/>
    </font>
    <font>
      <b/>
      <u/>
      <sz val="11"/>
      <color rgb="FFFF0000"/>
      <name val="Arial"/>
      <family val="2"/>
    </font>
    <font>
      <b/>
      <u/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77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 wrapText="1"/>
    </xf>
    <xf numFmtId="165" fontId="5" fillId="0" borderId="0" xfId="3" applyNumberFormat="1" applyFont="1" applyFill="1" applyBorder="1" applyAlignment="1">
      <alignment horizontal="center" wrapText="1"/>
    </xf>
    <xf numFmtId="166" fontId="5" fillId="0" borderId="0" xfId="3" applyNumberFormat="1" applyFont="1" applyFill="1" applyBorder="1" applyAlignment="1">
      <alignment horizontal="center" wrapText="1"/>
    </xf>
    <xf numFmtId="43" fontId="5" fillId="0" borderId="0" xfId="1" applyFont="1"/>
    <xf numFmtId="164" fontId="5" fillId="0" borderId="0" xfId="1" applyNumberFormat="1" applyFont="1"/>
    <xf numFmtId="0" fontId="5" fillId="0" borderId="0" xfId="0" applyFont="1" applyBorder="1"/>
    <xf numFmtId="164" fontId="5" fillId="0" borderId="0" xfId="1" applyNumberFormat="1" applyFont="1" applyBorder="1"/>
    <xf numFmtId="167" fontId="5" fillId="0" borderId="2" xfId="2" applyNumberFormat="1" applyFont="1" applyBorder="1"/>
    <xf numFmtId="0" fontId="6" fillId="0" borderId="0" xfId="0" applyNumberFormat="1" applyFont="1" applyFill="1" applyBorder="1"/>
    <xf numFmtId="0" fontId="7" fillId="0" borderId="0" xfId="0" applyNumberFormat="1" applyFont="1" applyFill="1" applyBorder="1"/>
    <xf numFmtId="44" fontId="6" fillId="0" borderId="0" xfId="2" applyFont="1" applyFill="1" applyBorder="1"/>
    <xf numFmtId="166" fontId="7" fillId="0" borderId="0" xfId="1" applyNumberFormat="1" applyFont="1" applyFill="1" applyBorder="1"/>
    <xf numFmtId="164" fontId="7" fillId="0" borderId="0" xfId="1" applyNumberFormat="1" applyFont="1" applyFill="1" applyBorder="1" applyAlignment="1">
      <alignment horizontal="center"/>
    </xf>
    <xf numFmtId="164" fontId="4" fillId="0" borderId="0" xfId="1" applyNumberFormat="1" applyFont="1"/>
    <xf numFmtId="0" fontId="8" fillId="0" borderId="0" xfId="0" applyFont="1" applyAlignment="1"/>
    <xf numFmtId="0" fontId="9" fillId="0" borderId="0" xfId="0" applyFont="1"/>
    <xf numFmtId="0" fontId="5" fillId="0" borderId="0" xfId="0" applyFont="1" applyAlignment="1">
      <alignment horizontal="left" indent="26"/>
    </xf>
    <xf numFmtId="0" fontId="12" fillId="0" borderId="0" xfId="0" applyFont="1" applyFill="1" applyBorder="1" applyAlignment="1"/>
    <xf numFmtId="43" fontId="4" fillId="0" borderId="0" xfId="1" applyFont="1"/>
    <xf numFmtId="0" fontId="8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/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164" fontId="15" fillId="0" borderId="3" xfId="1" applyNumberFormat="1" applyFont="1" applyFill="1" applyBorder="1" applyAlignment="1">
      <alignment horizontal="center" vertical="center" wrapText="1"/>
    </xf>
    <xf numFmtId="166" fontId="16" fillId="0" borderId="3" xfId="3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164" fontId="15" fillId="0" borderId="0" xfId="0" applyNumberFormat="1" applyFont="1" applyFill="1" applyBorder="1"/>
    <xf numFmtId="164" fontId="15" fillId="0" borderId="0" xfId="1" applyNumberFormat="1" applyFont="1" applyFill="1" applyBorder="1"/>
    <xf numFmtId="164" fontId="17" fillId="0" borderId="0" xfId="1" applyNumberFormat="1" applyFont="1" applyFill="1" applyBorder="1"/>
    <xf numFmtId="0" fontId="14" fillId="0" borderId="0" xfId="0" applyFont="1" applyFill="1" applyBorder="1" applyAlignment="1">
      <alignment horizontal="right"/>
    </xf>
    <xf numFmtId="164" fontId="14" fillId="0" borderId="2" xfId="1" applyNumberFormat="1" applyFont="1" applyFill="1" applyBorder="1"/>
    <xf numFmtId="164" fontId="14" fillId="0" borderId="0" xfId="1" applyNumberFormat="1" applyFont="1" applyFill="1" applyBorder="1"/>
    <xf numFmtId="9" fontId="17" fillId="0" borderId="0" xfId="3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right"/>
    </xf>
    <xf numFmtId="164" fontId="14" fillId="0" borderId="2" xfId="1" applyNumberFormat="1" applyFont="1" applyFill="1" applyBorder="1" applyAlignment="1"/>
    <xf numFmtId="0" fontId="15" fillId="0" borderId="0" xfId="0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164" fontId="17" fillId="0" borderId="0" xfId="1" applyNumberFormat="1" applyFont="1" applyFill="1" applyBorder="1" applyAlignment="1">
      <alignment vertical="center"/>
    </xf>
    <xf numFmtId="164" fontId="15" fillId="0" borderId="0" xfId="1" applyNumberFormat="1" applyFont="1" applyFill="1" applyBorder="1" applyAlignment="1">
      <alignment vertical="center"/>
    </xf>
    <xf numFmtId="43" fontId="20" fillId="0" borderId="0" xfId="1" applyFont="1" applyFill="1" applyBorder="1"/>
    <xf numFmtId="0" fontId="21" fillId="0" borderId="0" xfId="0" applyNumberFormat="1" applyFont="1" applyFill="1" applyBorder="1"/>
    <xf numFmtId="166" fontId="19" fillId="0" borderId="0" xfId="0" applyNumberFormat="1" applyFont="1" applyFill="1" applyBorder="1" applyAlignment="1">
      <alignment horizontal="center"/>
    </xf>
    <xf numFmtId="164" fontId="21" fillId="0" borderId="0" xfId="1" applyNumberFormat="1" applyFont="1" applyFill="1" applyBorder="1" applyAlignment="1">
      <alignment horizontal="center"/>
    </xf>
    <xf numFmtId="0" fontId="21" fillId="0" borderId="0" xfId="0" applyFont="1" applyFill="1" applyBorder="1"/>
    <xf numFmtId="0" fontId="22" fillId="0" borderId="0" xfId="0" applyNumberFormat="1" applyFont="1" applyFill="1" applyBorder="1"/>
    <xf numFmtId="0" fontId="21" fillId="0" borderId="0" xfId="2" applyNumberFormat="1" applyFont="1" applyFill="1" applyBorder="1"/>
    <xf numFmtId="44" fontId="21" fillId="0" borderId="0" xfId="2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left" indent="3"/>
    </xf>
    <xf numFmtId="17" fontId="21" fillId="0" borderId="0" xfId="2" applyNumberFormat="1" applyFont="1" applyFill="1" applyBorder="1" applyAlignment="1">
      <alignment horizontal="center"/>
    </xf>
    <xf numFmtId="164" fontId="21" fillId="0" borderId="0" xfId="1" applyNumberFormat="1" applyFont="1" applyFill="1" applyBorder="1"/>
    <xf numFmtId="43" fontId="23" fillId="0" borderId="0" xfId="1" applyFont="1" applyFill="1" applyBorder="1"/>
    <xf numFmtId="43" fontId="21" fillId="0" borderId="0" xfId="1" applyFont="1" applyFill="1" applyBorder="1"/>
    <xf numFmtId="0" fontId="21" fillId="0" borderId="0" xfId="2" applyNumberFormat="1" applyFont="1" applyFill="1" applyBorder="1" applyAlignment="1">
      <alignment horizontal="left"/>
    </xf>
    <xf numFmtId="167" fontId="21" fillId="0" borderId="0" xfId="2" applyNumberFormat="1" applyFont="1" applyFill="1" applyBorder="1"/>
    <xf numFmtId="164" fontId="21" fillId="0" borderId="2" xfId="1" applyNumberFormat="1" applyFont="1" applyFill="1" applyBorder="1" applyAlignment="1">
      <alignment horizontal="center"/>
    </xf>
    <xf numFmtId="44" fontId="21" fillId="0" borderId="0" xfId="2" applyFont="1" applyFill="1" applyBorder="1"/>
    <xf numFmtId="0" fontId="21" fillId="0" borderId="0" xfId="0" applyFont="1" applyFill="1" applyBorder="1" applyAlignment="1">
      <alignment horizontal="left" indent="8"/>
    </xf>
    <xf numFmtId="166" fontId="21" fillId="0" borderId="0" xfId="3" applyNumberFormat="1" applyFont="1" applyFill="1" applyBorder="1"/>
    <xf numFmtId="0" fontId="24" fillId="0" borderId="0" xfId="0" applyNumberFormat="1" applyFont="1" applyFill="1" applyBorder="1"/>
    <xf numFmtId="166" fontId="24" fillId="0" borderId="0" xfId="1" applyNumberFormat="1" applyFont="1" applyFill="1" applyBorder="1"/>
    <xf numFmtId="8" fontId="21" fillId="0" borderId="0" xfId="2" applyNumberFormat="1" applyFont="1" applyFill="1" applyBorder="1"/>
    <xf numFmtId="7" fontId="21" fillId="0" borderId="2" xfId="3" applyNumberFormat="1" applyFont="1" applyFill="1" applyBorder="1"/>
    <xf numFmtId="164" fontId="20" fillId="0" borderId="0" xfId="1" applyNumberFormat="1" applyFont="1" applyFill="1" applyBorder="1"/>
    <xf numFmtId="166" fontId="20" fillId="0" borderId="0" xfId="3" applyNumberFormat="1" applyFont="1" applyFill="1" applyBorder="1"/>
    <xf numFmtId="164" fontId="25" fillId="0" borderId="0" xfId="1" applyNumberFormat="1" applyFont="1" applyFill="1" applyBorder="1"/>
    <xf numFmtId="166" fontId="25" fillId="0" borderId="0" xfId="3" applyNumberFormat="1" applyFont="1" applyFill="1" applyBorder="1" applyAlignment="1"/>
    <xf numFmtId="166" fontId="21" fillId="0" borderId="0" xfId="0" applyNumberFormat="1" applyFont="1" applyFill="1" applyBorder="1"/>
    <xf numFmtId="166" fontId="25" fillId="0" borderId="0" xfId="3" applyNumberFormat="1" applyFont="1" applyFill="1" applyBorder="1" applyAlignment="1">
      <alignment horizontal="right"/>
    </xf>
    <xf numFmtId="164" fontId="25" fillId="0" borderId="0" xfId="6" applyNumberFormat="1" applyFont="1" applyFill="1" applyBorder="1"/>
    <xf numFmtId="166" fontId="25" fillId="0" borderId="0" xfId="7" applyNumberFormat="1" applyFont="1" applyFill="1" applyBorder="1" applyAlignment="1">
      <alignment horizontal="right"/>
    </xf>
    <xf numFmtId="169" fontId="21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>
      <alignment horizontal="left" indent="11"/>
    </xf>
    <xf numFmtId="14" fontId="21" fillId="0" borderId="0" xfId="0" applyNumberFormat="1" applyFont="1" applyFill="1" applyBorder="1" applyAlignment="1">
      <alignment horizontal="right"/>
    </xf>
    <xf numFmtId="164" fontId="21" fillId="0" borderId="0" xfId="0" applyNumberFormat="1" applyFont="1" applyFill="1" applyBorder="1"/>
    <xf numFmtId="43" fontId="0" fillId="0" borderId="0" xfId="1" applyFont="1"/>
    <xf numFmtId="2" fontId="17" fillId="0" borderId="0" xfId="3" applyNumberFormat="1" applyFont="1" applyFill="1" applyBorder="1" applyAlignment="1">
      <alignment horizontal="right"/>
    </xf>
    <xf numFmtId="43" fontId="17" fillId="0" borderId="0" xfId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center"/>
    </xf>
    <xf numFmtId="2" fontId="17" fillId="0" borderId="0" xfId="3" applyNumberFormat="1" applyFont="1" applyFill="1" applyBorder="1" applyAlignment="1">
      <alignment horizontal="right" vertical="center"/>
    </xf>
    <xf numFmtId="43" fontId="18" fillId="0" borderId="0" xfId="1" applyFont="1" applyFill="1" applyBorder="1" applyAlignment="1">
      <alignment horizontal="center"/>
    </xf>
    <xf numFmtId="2" fontId="18" fillId="0" borderId="5" xfId="0" applyNumberFormat="1" applyFont="1" applyFill="1" applyBorder="1" applyAlignment="1">
      <alignment horizontal="center"/>
    </xf>
    <xf numFmtId="2" fontId="17" fillId="0" borderId="0" xfId="3" applyNumberFormat="1" applyFont="1" applyFill="1" applyBorder="1" applyAlignment="1">
      <alignment horizontal="center" vertical="center" wrapText="1"/>
    </xf>
    <xf numFmtId="2" fontId="17" fillId="0" borderId="0" xfId="3" applyNumberFormat="1" applyFont="1" applyFill="1" applyBorder="1"/>
    <xf numFmtId="2" fontId="18" fillId="0" borderId="0" xfId="3" applyNumberFormat="1" applyFont="1" applyFill="1" applyBorder="1"/>
    <xf numFmtId="2" fontId="17" fillId="0" borderId="0" xfId="1" applyNumberFormat="1" applyFont="1" applyFill="1" applyBorder="1" applyAlignment="1"/>
    <xf numFmtId="2" fontId="26" fillId="0" borderId="0" xfId="0" applyNumberFormat="1" applyFont="1"/>
    <xf numFmtId="43" fontId="18" fillId="0" borderId="5" xfId="1" applyFont="1" applyFill="1" applyBorder="1" applyAlignment="1">
      <alignment horizontal="center"/>
    </xf>
    <xf numFmtId="43" fontId="17" fillId="0" borderId="0" xfId="1" applyFont="1" applyFill="1" applyBorder="1"/>
    <xf numFmtId="0" fontId="13" fillId="0" borderId="0" xfId="0" applyFont="1" applyFill="1" applyBorder="1" applyAlignment="1">
      <alignment horizontal="center"/>
    </xf>
    <xf numFmtId="164" fontId="0" fillId="0" borderId="0" xfId="0" applyNumberFormat="1"/>
    <xf numFmtId="164" fontId="4" fillId="0" borderId="0" xfId="0" applyNumberFormat="1" applyFont="1"/>
    <xf numFmtId="164" fontId="4" fillId="0" borderId="2" xfId="0" applyNumberFormat="1" applyFont="1" applyBorder="1"/>
    <xf numFmtId="164" fontId="4" fillId="0" borderId="4" xfId="0" applyNumberFormat="1" applyFont="1" applyBorder="1"/>
    <xf numFmtId="49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164" fontId="16" fillId="0" borderId="3" xfId="1" applyNumberFormat="1" applyFont="1" applyFill="1" applyBorder="1" applyAlignment="1">
      <alignment horizontal="center" vertical="center" wrapText="1"/>
    </xf>
    <xf numFmtId="166" fontId="16" fillId="0" borderId="0" xfId="3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164" fontId="16" fillId="0" borderId="0" xfId="0" applyNumberFormat="1" applyFont="1" applyFill="1" applyBorder="1"/>
    <xf numFmtId="164" fontId="16" fillId="0" borderId="0" xfId="1" applyNumberFormat="1" applyFont="1" applyFill="1" applyBorder="1"/>
    <xf numFmtId="166" fontId="16" fillId="0" borderId="0" xfId="3" applyNumberFormat="1" applyFont="1" applyFill="1" applyBorder="1"/>
    <xf numFmtId="164" fontId="16" fillId="0" borderId="4" xfId="1" applyNumberFormat="1" applyFont="1" applyFill="1" applyBorder="1"/>
    <xf numFmtId="164" fontId="28" fillId="0" borderId="0" xfId="1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164" fontId="27" fillId="0" borderId="2" xfId="1" applyNumberFormat="1" applyFont="1" applyFill="1" applyBorder="1"/>
    <xf numFmtId="164" fontId="27" fillId="0" borderId="0" xfId="1" applyNumberFormat="1" applyFont="1" applyFill="1" applyBorder="1"/>
    <xf numFmtId="0" fontId="29" fillId="0" borderId="0" xfId="0" applyFont="1"/>
    <xf numFmtId="167" fontId="10" fillId="0" borderId="0" xfId="2" applyNumberFormat="1" applyFont="1" applyFill="1"/>
    <xf numFmtId="164" fontId="11" fillId="0" borderId="0" xfId="1" applyNumberFormat="1" applyFont="1" applyFill="1"/>
    <xf numFmtId="164" fontId="10" fillId="0" borderId="0" xfId="1" applyNumberFormat="1" applyFont="1" applyFill="1"/>
    <xf numFmtId="164" fontId="10" fillId="0" borderId="1" xfId="1" applyNumberFormat="1" applyFont="1" applyFill="1" applyBorder="1"/>
    <xf numFmtId="0" fontId="11" fillId="0" borderId="0" xfId="0" applyFont="1" applyFill="1"/>
    <xf numFmtId="0" fontId="30" fillId="0" borderId="0" xfId="0" applyFont="1"/>
    <xf numFmtId="166" fontId="27" fillId="0" borderId="2" xfId="3" applyNumberFormat="1" applyFont="1" applyFill="1" applyBorder="1"/>
    <xf numFmtId="166" fontId="18" fillId="0" borderId="2" xfId="3" applyNumberFormat="1" applyFont="1" applyFill="1" applyBorder="1" applyAlignment="1">
      <alignment horizontal="right"/>
    </xf>
    <xf numFmtId="166" fontId="17" fillId="0" borderId="0" xfId="3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4" fillId="0" borderId="0" xfId="0" applyFont="1" applyFill="1" applyBorder="1" applyAlignment="1"/>
    <xf numFmtId="0" fontId="35" fillId="0" borderId="0" xfId="0" applyFont="1" applyFill="1" applyBorder="1" applyAlignment="1"/>
    <xf numFmtId="43" fontId="36" fillId="0" borderId="0" xfId="1" applyFont="1"/>
    <xf numFmtId="0" fontId="36" fillId="0" borderId="0" xfId="0" applyFont="1"/>
    <xf numFmtId="164" fontId="37" fillId="0" borderId="0" xfId="1" applyNumberFormat="1" applyFont="1" applyFill="1" applyBorder="1" applyAlignment="1">
      <alignment horizontal="center"/>
    </xf>
    <xf numFmtId="164" fontId="38" fillId="0" borderId="0" xfId="1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7" fillId="0" borderId="0" xfId="0" applyFont="1" applyFill="1" applyBorder="1"/>
    <xf numFmtId="43" fontId="37" fillId="0" borderId="0" xfId="1" applyFont="1" applyBorder="1"/>
    <xf numFmtId="43" fontId="38" fillId="0" borderId="0" xfId="1" applyFont="1" applyBorder="1"/>
    <xf numFmtId="9" fontId="37" fillId="0" borderId="0" xfId="3" applyFont="1" applyFill="1" applyBorder="1" applyAlignment="1">
      <alignment wrapText="1"/>
    </xf>
    <xf numFmtId="164" fontId="37" fillId="0" borderId="0" xfId="1" applyNumberFormat="1" applyFont="1" applyFill="1" applyBorder="1"/>
    <xf numFmtId="0" fontId="31" fillId="0" borderId="0" xfId="0" applyFont="1" applyBorder="1"/>
    <xf numFmtId="43" fontId="31" fillId="0" borderId="0" xfId="1" applyFont="1" applyBorder="1" applyAlignment="1">
      <alignment horizontal="center"/>
    </xf>
    <xf numFmtId="43" fontId="33" fillId="0" borderId="0" xfId="1" applyFont="1" applyBorder="1" applyAlignment="1">
      <alignment horizontal="center"/>
    </xf>
    <xf numFmtId="0" fontId="39" fillId="0" borderId="0" xfId="0" applyFont="1" applyBorder="1"/>
    <xf numFmtId="43" fontId="31" fillId="0" borderId="0" xfId="1" applyFont="1" applyBorder="1"/>
    <xf numFmtId="43" fontId="33" fillId="0" borderId="0" xfId="1" applyFont="1" applyBorder="1"/>
    <xf numFmtId="0" fontId="0" fillId="0" borderId="0" xfId="0" applyBorder="1"/>
    <xf numFmtId="166" fontId="37" fillId="0" borderId="0" xfId="3" applyNumberFormat="1" applyFont="1" applyFill="1" applyBorder="1"/>
    <xf numFmtId="0" fontId="31" fillId="0" borderId="0" xfId="0" applyFont="1" applyBorder="1" applyAlignment="1"/>
    <xf numFmtId="0" fontId="33" fillId="0" borderId="0" xfId="0" applyFont="1" applyBorder="1" applyAlignment="1"/>
    <xf numFmtId="0" fontId="40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40" fillId="0" borderId="0" xfId="0" applyFont="1" applyAlignment="1">
      <alignment horizontal="right"/>
    </xf>
    <xf numFmtId="8" fontId="36" fillId="0" borderId="0" xfId="0" applyNumberFormat="1" applyFont="1" applyAlignment="1"/>
    <xf numFmtId="43" fontId="36" fillId="0" borderId="0" xfId="0" applyNumberFormat="1" applyFont="1" applyFill="1" applyAlignment="1"/>
    <xf numFmtId="0" fontId="40" fillId="0" borderId="0" xfId="0" applyFont="1" applyAlignment="1"/>
    <xf numFmtId="0" fontId="34" fillId="0" borderId="0" xfId="0" applyFont="1" applyBorder="1" applyAlignment="1"/>
    <xf numFmtId="43" fontId="41" fillId="0" borderId="0" xfId="1" applyFont="1" applyFill="1" applyBorder="1"/>
    <xf numFmtId="43" fontId="42" fillId="0" borderId="0" xfId="1" applyFont="1" applyFill="1" applyBorder="1"/>
    <xf numFmtId="170" fontId="37" fillId="0" borderId="0" xfId="1" applyNumberFormat="1" applyFont="1" applyBorder="1"/>
    <xf numFmtId="165" fontId="36" fillId="0" borderId="0" xfId="3" applyNumberFormat="1" applyFont="1" applyAlignment="1">
      <alignment horizontal="center"/>
    </xf>
    <xf numFmtId="166" fontId="36" fillId="0" borderId="0" xfId="3" applyNumberFormat="1" applyFont="1" applyAlignment="1">
      <alignment horizontal="center"/>
    </xf>
    <xf numFmtId="0" fontId="36" fillId="0" borderId="0" xfId="0" applyFont="1" applyBorder="1" applyAlignment="1">
      <alignment horizontal="center"/>
    </xf>
    <xf numFmtId="164" fontId="36" fillId="0" borderId="1" xfId="1" applyNumberFormat="1" applyFont="1" applyBorder="1" applyAlignment="1">
      <alignment horizontal="center"/>
    </xf>
    <xf numFmtId="164" fontId="36" fillId="0" borderId="1" xfId="1" applyNumberFormat="1" applyFont="1" applyBorder="1" applyAlignment="1">
      <alignment horizontal="center" wrapText="1"/>
    </xf>
    <xf numFmtId="165" fontId="36" fillId="0" borderId="0" xfId="3" applyNumberFormat="1" applyFont="1" applyFill="1" applyBorder="1" applyAlignment="1">
      <alignment horizontal="center" wrapText="1"/>
    </xf>
    <xf numFmtId="166" fontId="36" fillId="0" borderId="0" xfId="3" applyNumberFormat="1" applyFont="1" applyFill="1" applyBorder="1" applyAlignment="1">
      <alignment horizontal="center" wrapText="1"/>
    </xf>
    <xf numFmtId="43" fontId="36" fillId="0" borderId="0" xfId="1" applyFont="1" applyBorder="1"/>
    <xf numFmtId="164" fontId="36" fillId="0" borderId="0" xfId="1" applyNumberFormat="1" applyFont="1"/>
    <xf numFmtId="166" fontId="36" fillId="0" borderId="0" xfId="3" applyNumberFormat="1" applyFont="1" applyBorder="1"/>
    <xf numFmtId="168" fontId="37" fillId="0" borderId="0" xfId="1" applyNumberFormat="1" applyFont="1" applyBorder="1"/>
    <xf numFmtId="168" fontId="38" fillId="0" borderId="0" xfId="1" applyNumberFormat="1" applyFont="1" applyBorder="1"/>
    <xf numFmtId="0" fontId="36" fillId="0" borderId="0" xfId="0" applyFont="1" applyAlignment="1">
      <alignment horizontal="center"/>
    </xf>
    <xf numFmtId="164" fontId="36" fillId="0" borderId="2" xfId="1" applyNumberFormat="1" applyFont="1" applyBorder="1"/>
    <xf numFmtId="164" fontId="36" fillId="0" borderId="3" xfId="1" applyNumberFormat="1" applyFont="1" applyBorder="1" applyAlignment="1">
      <alignment horizontal="center"/>
    </xf>
    <xf numFmtId="164" fontId="36" fillId="0" borderId="3" xfId="1" applyNumberFormat="1" applyFont="1" applyBorder="1" applyAlignment="1">
      <alignment horizontal="center" wrapText="1"/>
    </xf>
    <xf numFmtId="164" fontId="36" fillId="0" borderId="3" xfId="1" applyNumberFormat="1" applyFont="1" applyFill="1" applyBorder="1" applyAlignment="1">
      <alignment horizontal="center" wrapText="1"/>
    </xf>
    <xf numFmtId="0" fontId="36" fillId="0" borderId="0" xfId="0" applyFont="1" applyAlignment="1">
      <alignment horizontal="left"/>
    </xf>
    <xf numFmtId="164" fontId="36" fillId="0" borderId="0" xfId="1" applyNumberFormat="1" applyFont="1" applyBorder="1"/>
    <xf numFmtId="164" fontId="21" fillId="0" borderId="0" xfId="1" applyNumberFormat="1" applyFont="1"/>
    <xf numFmtId="166" fontId="36" fillId="0" borderId="0" xfId="3" applyNumberFormat="1" applyFont="1"/>
    <xf numFmtId="0" fontId="43" fillId="0" borderId="0" xfId="0" applyFont="1" applyAlignment="1">
      <alignment horizontal="left"/>
    </xf>
    <xf numFmtId="0" fontId="25" fillId="0" borderId="0" xfId="4" applyBorder="1"/>
    <xf numFmtId="164" fontId="36" fillId="0" borderId="4" xfId="1" applyNumberFormat="1" applyFont="1" applyBorder="1"/>
    <xf numFmtId="164" fontId="36" fillId="0" borderId="4" xfId="1" applyNumberFormat="1" applyFont="1" applyFill="1" applyBorder="1"/>
    <xf numFmtId="166" fontId="36" fillId="0" borderId="4" xfId="3" applyNumberFormat="1" applyFont="1" applyBorder="1"/>
    <xf numFmtId="43" fontId="25" fillId="0" borderId="0" xfId="0" applyNumberFormat="1" applyFont="1" applyFill="1"/>
    <xf numFmtId="0" fontId="25" fillId="0" borderId="0" xfId="0" applyFont="1" applyFill="1"/>
    <xf numFmtId="166" fontId="36" fillId="0" borderId="2" xfId="3" applyNumberFormat="1" applyFont="1" applyBorder="1"/>
    <xf numFmtId="164" fontId="38" fillId="0" borderId="0" xfId="1" applyNumberFormat="1" applyFont="1" applyFill="1" applyBorder="1"/>
    <xf numFmtId="0" fontId="37" fillId="0" borderId="0" xfId="0" applyNumberFormat="1" applyFont="1" applyFill="1" applyBorder="1"/>
    <xf numFmtId="166" fontId="36" fillId="0" borderId="3" xfId="3" applyNumberFormat="1" applyFont="1" applyFill="1" applyBorder="1" applyAlignment="1">
      <alignment horizontal="center" wrapText="1"/>
    </xf>
    <xf numFmtId="43" fontId="21" fillId="0" borderId="0" xfId="1" applyFont="1"/>
    <xf numFmtId="0" fontId="21" fillId="0" borderId="0" xfId="0" applyNumberFormat="1" applyFont="1" applyFill="1"/>
    <xf numFmtId="0" fontId="21" fillId="0" borderId="0" xfId="1" applyNumberFormat="1" applyFont="1" applyFill="1" applyAlignment="1">
      <alignment horizontal="left"/>
    </xf>
    <xf numFmtId="164" fontId="44" fillId="0" borderId="0" xfId="1" applyNumberFormat="1" applyFont="1" applyFill="1" applyBorder="1" applyAlignment="1">
      <alignment horizontal="center"/>
    </xf>
    <xf numFmtId="164" fontId="45" fillId="0" borderId="0" xfId="1" applyNumberFormat="1" applyFont="1" applyFill="1" applyBorder="1" applyAlignment="1">
      <alignment horizontal="center"/>
    </xf>
    <xf numFmtId="166" fontId="36" fillId="0" borderId="1" xfId="3" applyNumberFormat="1" applyFont="1" applyBorder="1"/>
    <xf numFmtId="164" fontId="37" fillId="0" borderId="0" xfId="1" applyNumberFormat="1" applyFont="1" applyBorder="1"/>
    <xf numFmtId="164" fontId="38" fillId="0" borderId="0" xfId="1" applyNumberFormat="1" applyFont="1" applyBorder="1"/>
    <xf numFmtId="164" fontId="37" fillId="0" borderId="0" xfId="0" applyNumberFormat="1" applyFont="1" applyBorder="1"/>
    <xf numFmtId="167" fontId="46" fillId="0" borderId="0" xfId="5" applyNumberFormat="1" applyFont="1" applyFill="1" applyBorder="1"/>
    <xf numFmtId="0" fontId="44" fillId="0" borderId="0" xfId="4" applyFont="1" applyBorder="1"/>
    <xf numFmtId="0" fontId="45" fillId="0" borderId="0" xfId="4" applyFont="1" applyBorder="1"/>
    <xf numFmtId="164" fontId="44" fillId="0" borderId="0" xfId="6" applyNumberFormat="1" applyFont="1" applyFill="1" applyBorder="1"/>
    <xf numFmtId="164" fontId="45" fillId="0" borderId="0" xfId="6" applyNumberFormat="1" applyFont="1" applyFill="1" applyBorder="1"/>
    <xf numFmtId="0" fontId="36" fillId="0" borderId="0" xfId="0" applyFont="1" applyBorder="1"/>
    <xf numFmtId="0" fontId="47" fillId="0" borderId="0" xfId="0" applyNumberFormat="1" applyFont="1" applyFill="1" applyBorder="1" applyAlignment="1"/>
    <xf numFmtId="0" fontId="48" fillId="0" borderId="0" xfId="0" applyNumberFormat="1" applyFont="1" applyFill="1" applyBorder="1" applyAlignment="1"/>
    <xf numFmtId="0" fontId="35" fillId="0" borderId="0" xfId="0" applyFont="1" applyFill="1" applyBorder="1" applyAlignment="1">
      <alignment horizontal="center"/>
    </xf>
    <xf numFmtId="43" fontId="36" fillId="0" borderId="0" xfId="1" applyFont="1" applyFill="1"/>
    <xf numFmtId="164" fontId="36" fillId="0" borderId="1" xfId="1" applyNumberFormat="1" applyFont="1" applyFill="1" applyBorder="1" applyAlignment="1">
      <alignment horizontal="center"/>
    </xf>
    <xf numFmtId="166" fontId="37" fillId="0" borderId="0" xfId="1" applyNumberFormat="1" applyFont="1" applyFill="1" applyBorder="1" applyAlignment="1">
      <alignment horizontal="center"/>
    </xf>
    <xf numFmtId="164" fontId="36" fillId="0" borderId="0" xfId="1" applyNumberFormat="1" applyFont="1" applyFill="1"/>
    <xf numFmtId="43" fontId="0" fillId="0" borderId="0" xfId="1" applyFont="1" applyBorder="1"/>
    <xf numFmtId="164" fontId="36" fillId="0" borderId="0" xfId="1" applyNumberFormat="1" applyFont="1" applyFill="1" applyBorder="1"/>
    <xf numFmtId="166" fontId="36" fillId="0" borderId="0" xfId="1" applyNumberFormat="1" applyFont="1" applyFill="1"/>
    <xf numFmtId="0" fontId="33" fillId="0" borderId="0" xfId="0" applyFont="1" applyBorder="1"/>
    <xf numFmtId="166" fontId="36" fillId="0" borderId="0" xfId="1" applyNumberFormat="1" applyFont="1"/>
    <xf numFmtId="0" fontId="32" fillId="0" borderId="0" xfId="0" applyFont="1"/>
    <xf numFmtId="0" fontId="21" fillId="0" borderId="0" xfId="0" applyFont="1" applyFill="1"/>
    <xf numFmtId="169" fontId="37" fillId="0" borderId="0" xfId="0" applyNumberFormat="1" applyFont="1" applyFill="1" applyBorder="1" applyAlignment="1">
      <alignment horizontal="right"/>
    </xf>
    <xf numFmtId="43" fontId="37" fillId="0" borderId="0" xfId="0" applyNumberFormat="1" applyFont="1" applyFill="1" applyBorder="1"/>
    <xf numFmtId="43" fontId="38" fillId="0" borderId="0" xfId="0" applyNumberFormat="1" applyFont="1" applyFill="1" applyBorder="1"/>
    <xf numFmtId="43" fontId="37" fillId="0" borderId="0" xfId="1" applyFont="1" applyFill="1" applyBorder="1"/>
    <xf numFmtId="43" fontId="38" fillId="0" borderId="0" xfId="1" applyFont="1" applyFill="1" applyBorder="1"/>
    <xf numFmtId="43" fontId="38" fillId="0" borderId="0" xfId="1" applyFont="1" applyFill="1"/>
    <xf numFmtId="164" fontId="38" fillId="0" borderId="0" xfId="1" applyNumberFormat="1" applyFont="1" applyFill="1"/>
    <xf numFmtId="166" fontId="38" fillId="0" borderId="0" xfId="1" applyNumberFormat="1" applyFont="1" applyFill="1"/>
    <xf numFmtId="0" fontId="48" fillId="0" borderId="0" xfId="0" applyNumberFormat="1" applyFont="1" applyFill="1" applyAlignment="1"/>
    <xf numFmtId="166" fontId="48" fillId="0" borderId="0" xfId="0" applyNumberFormat="1" applyFont="1" applyFill="1" applyAlignment="1"/>
    <xf numFmtId="0" fontId="38" fillId="0" borderId="0" xfId="0" applyNumberFormat="1" applyFont="1" applyFill="1"/>
    <xf numFmtId="166" fontId="35" fillId="0" borderId="0" xfId="0" applyNumberFormat="1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166" fontId="35" fillId="0" borderId="6" xfId="0" applyNumberFormat="1" applyFont="1" applyFill="1" applyBorder="1" applyAlignment="1">
      <alignment horizontal="center"/>
    </xf>
    <xf numFmtId="164" fontId="38" fillId="0" borderId="7" xfId="1" applyNumberFormat="1" applyFont="1" applyFill="1" applyBorder="1"/>
    <xf numFmtId="166" fontId="38" fillId="0" borderId="0" xfId="3" applyNumberFormat="1" applyFont="1" applyFill="1" applyBorder="1"/>
    <xf numFmtId="0" fontId="38" fillId="0" borderId="0" xfId="0" applyNumberFormat="1" applyFont="1" applyFill="1" applyBorder="1"/>
    <xf numFmtId="168" fontId="38" fillId="0" borderId="0" xfId="1" applyNumberFormat="1" applyFont="1" applyFill="1"/>
    <xf numFmtId="166" fontId="38" fillId="0" borderId="0" xfId="0" applyNumberFormat="1" applyFont="1" applyFill="1" applyBorder="1"/>
    <xf numFmtId="166" fontId="37" fillId="0" borderId="0" xfId="3" applyNumberFormat="1" applyFont="1" applyFill="1" applyBorder="1" applyAlignment="1"/>
    <xf numFmtId="166" fontId="37" fillId="0" borderId="0" xfId="3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 indent="26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indent="18"/>
    </xf>
    <xf numFmtId="0" fontId="13" fillId="0" borderId="0" xfId="0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164" fontId="36" fillId="0" borderId="0" xfId="1" applyNumberFormat="1" applyFont="1" applyFill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165" fontId="36" fillId="0" borderId="0" xfId="3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66" fontId="36" fillId="0" borderId="0" xfId="3" applyNumberFormat="1" applyFont="1" applyFill="1" applyBorder="1" applyAlignment="1">
      <alignment horizontal="center" wrapText="1"/>
    </xf>
    <xf numFmtId="166" fontId="36" fillId="0" borderId="3" xfId="3" applyNumberFormat="1" applyFont="1" applyFill="1" applyBorder="1" applyAlignment="1">
      <alignment horizontal="center" wrapText="1"/>
    </xf>
    <xf numFmtId="17" fontId="36" fillId="0" borderId="0" xfId="0" quotePrefix="1" applyNumberFormat="1" applyFont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 wrapText="1"/>
    </xf>
    <xf numFmtId="166" fontId="21" fillId="0" borderId="0" xfId="3" applyNumberFormat="1" applyFont="1" applyFill="1" applyBorder="1" applyAlignment="1">
      <alignment horizontal="center" wrapText="1"/>
    </xf>
    <xf numFmtId="166" fontId="21" fillId="0" borderId="3" xfId="3" applyNumberFormat="1" applyFont="1" applyFill="1" applyBorder="1" applyAlignment="1">
      <alignment horizontal="center" wrapText="1"/>
    </xf>
  </cellXfs>
  <cellStyles count="8">
    <cellStyle name="Comma" xfId="1" builtinId="3"/>
    <cellStyle name="Comma 2" xfId="6"/>
    <cellStyle name="Currency" xfId="2" builtinId="4"/>
    <cellStyle name="Currency 2" xfId="5"/>
    <cellStyle name="Normal" xfId="0" builtinId="0"/>
    <cellStyle name="Normal 2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ccounting\Financial%20Statements\CONTRACT%20STATUS%20REPORTS\Contract%20Status%20report%206-30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Status%20report%206-30-18%20edite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ccounting\Financial%20Statements\2017-2018%20Financial%20Statements\2017-2018%20%20Financial%20Statements%20Novem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 "/>
      <sheetName val="Charts"/>
      <sheetName val="Sheet1"/>
    </sheetNames>
    <sheetDataSet>
      <sheetData sheetId="0">
        <row r="72">
          <cell r="AS72">
            <v>2123730.1900000186</v>
          </cell>
        </row>
        <row r="73">
          <cell r="AS73">
            <v>157803.83000000002</v>
          </cell>
        </row>
        <row r="81">
          <cell r="C81">
            <v>177603304</v>
          </cell>
          <cell r="AE81">
            <v>1225435.2699999877</v>
          </cell>
        </row>
        <row r="82">
          <cell r="C82">
            <v>522363</v>
          </cell>
          <cell r="AE82">
            <v>92937.739999999962</v>
          </cell>
        </row>
        <row r="83">
          <cell r="C83">
            <v>3770559</v>
          </cell>
        </row>
        <row r="84">
          <cell r="C84">
            <v>29493605</v>
          </cell>
          <cell r="AE84">
            <v>528255.45999999566</v>
          </cell>
        </row>
        <row r="85">
          <cell r="C85">
            <v>529663</v>
          </cell>
          <cell r="AE85">
            <v>9209.6500000000015</v>
          </cell>
        </row>
        <row r="86">
          <cell r="C86">
            <v>252237</v>
          </cell>
          <cell r="AE86">
            <v>218848.83000000002</v>
          </cell>
        </row>
        <row r="90">
          <cell r="C90">
            <v>195176054</v>
          </cell>
          <cell r="R90">
            <v>101203505.73999998</v>
          </cell>
        </row>
        <row r="91">
          <cell r="C91">
            <v>122798</v>
          </cell>
          <cell r="R91">
            <v>42137.279999999999</v>
          </cell>
        </row>
        <row r="93">
          <cell r="C93">
            <v>30383851</v>
          </cell>
          <cell r="R93">
            <v>15405373.129999999</v>
          </cell>
        </row>
        <row r="94">
          <cell r="C94">
            <v>264832</v>
          </cell>
          <cell r="R94">
            <v>260745.84</v>
          </cell>
        </row>
        <row r="95">
          <cell r="C95">
            <v>451782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 "/>
      <sheetName val="Charts"/>
      <sheetName val="Sheet1"/>
    </sheetNames>
    <sheetDataSet>
      <sheetData sheetId="0">
        <row r="66">
          <cell r="AT66">
            <v>-3.2414391171187162E-9</v>
          </cell>
        </row>
        <row r="67">
          <cell r="AT67">
            <v>-2.0372681319713593E-10</v>
          </cell>
        </row>
        <row r="72">
          <cell r="C72">
            <v>164684014</v>
          </cell>
        </row>
        <row r="73">
          <cell r="C73">
            <v>344693</v>
          </cell>
        </row>
        <row r="74">
          <cell r="C74">
            <v>3579340</v>
          </cell>
        </row>
        <row r="75">
          <cell r="C75">
            <v>28050790</v>
          </cell>
        </row>
        <row r="76">
          <cell r="C76">
            <v>476820</v>
          </cell>
        </row>
        <row r="77">
          <cell r="C77">
            <v>462758</v>
          </cell>
          <cell r="AE77">
            <v>9987.1199999999808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YEAR NOVEMBER 2017 FS"/>
      <sheetName val="PAGE 1"/>
      <sheetName val="POS PAGE 2"/>
      <sheetName val="OPS PAGE 3"/>
      <sheetName val="2016-2017"/>
      <sheetName val="Sheet1"/>
      <sheetName val="Sheet2"/>
      <sheetName val="POS  EXPENSE TEMPLATE "/>
      <sheetName val="OP Expense Template by Dep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B9">
            <v>18141429.09</v>
          </cell>
          <cell r="O9">
            <v>82313044.519999996</v>
          </cell>
        </row>
        <row r="10">
          <cell r="B10">
            <v>44393.57</v>
          </cell>
          <cell r="O10">
            <v>177908.82</v>
          </cell>
        </row>
        <row r="11">
          <cell r="B11">
            <v>8813.0499999999993</v>
          </cell>
          <cell r="O11">
            <v>30861.62</v>
          </cell>
        </row>
        <row r="12">
          <cell r="B12">
            <v>917.04000000000008</v>
          </cell>
          <cell r="O12">
            <v>9501.27</v>
          </cell>
        </row>
        <row r="13">
          <cell r="B13">
            <v>400</v>
          </cell>
          <cell r="O13">
            <v>2862</v>
          </cell>
        </row>
        <row r="14">
          <cell r="B14">
            <v>419296.91</v>
          </cell>
          <cell r="O14">
            <v>2026350.1700000002</v>
          </cell>
        </row>
        <row r="15">
          <cell r="B15">
            <v>8849.44</v>
          </cell>
          <cell r="O15">
            <v>32933.700000000004</v>
          </cell>
        </row>
        <row r="20">
          <cell r="B20">
            <v>4463737.1500000004</v>
          </cell>
          <cell r="O20">
            <v>22840662.600000001</v>
          </cell>
        </row>
        <row r="21">
          <cell r="B21">
            <v>0</v>
          </cell>
          <cell r="O21">
            <v>4200</v>
          </cell>
        </row>
        <row r="22">
          <cell r="B22">
            <v>93786.83</v>
          </cell>
          <cell r="O22">
            <v>505220.06</v>
          </cell>
        </row>
        <row r="23">
          <cell r="B23">
            <v>2792208.69</v>
          </cell>
          <cell r="O23">
            <v>14976276.890000001</v>
          </cell>
        </row>
        <row r="24">
          <cell r="B24">
            <v>124327.08</v>
          </cell>
          <cell r="O24">
            <v>681828.74999999988</v>
          </cell>
        </row>
        <row r="25">
          <cell r="B25">
            <v>45904.74</v>
          </cell>
          <cell r="O25">
            <v>233171.79</v>
          </cell>
        </row>
        <row r="26">
          <cell r="B26">
            <v>47591.33</v>
          </cell>
          <cell r="O26">
            <v>212292.69</v>
          </cell>
        </row>
        <row r="27">
          <cell r="B27">
            <v>1737236.91</v>
          </cell>
          <cell r="O27">
            <v>8933921.9600000009</v>
          </cell>
        </row>
        <row r="28">
          <cell r="B28">
            <v>42251.49</v>
          </cell>
          <cell r="O28">
            <v>228546.77</v>
          </cell>
        </row>
        <row r="29">
          <cell r="B29">
            <v>176642.14</v>
          </cell>
          <cell r="O29">
            <v>896524.98</v>
          </cell>
        </row>
        <row r="30">
          <cell r="B30">
            <v>1329973.54</v>
          </cell>
          <cell r="O30">
            <v>6858200.3399999999</v>
          </cell>
        </row>
        <row r="31">
          <cell r="B31">
            <v>980703.56</v>
          </cell>
          <cell r="O31">
            <v>5128039.49</v>
          </cell>
        </row>
        <row r="32">
          <cell r="B32">
            <v>1460016.8299999998</v>
          </cell>
          <cell r="O32">
            <v>7252057.6899999995</v>
          </cell>
        </row>
        <row r="33">
          <cell r="B33">
            <v>3589.36</v>
          </cell>
          <cell r="O33">
            <v>19277.18</v>
          </cell>
        </row>
        <row r="34">
          <cell r="B34">
            <v>37500</v>
          </cell>
          <cell r="O34">
            <v>191250</v>
          </cell>
        </row>
        <row r="35">
          <cell r="B35">
            <v>45552.75</v>
          </cell>
          <cell r="O35">
            <v>162409.13999999998</v>
          </cell>
        </row>
        <row r="36">
          <cell r="B36">
            <v>210271.52</v>
          </cell>
          <cell r="O36">
            <v>1150523.8199999998</v>
          </cell>
        </row>
        <row r="37">
          <cell r="B37">
            <v>1431.97</v>
          </cell>
          <cell r="O37">
            <v>15168.73</v>
          </cell>
        </row>
        <row r="38">
          <cell r="B38">
            <v>899859.52</v>
          </cell>
          <cell r="O38">
            <v>3978278.32</v>
          </cell>
        </row>
        <row r="39">
          <cell r="B39">
            <v>33919.71</v>
          </cell>
          <cell r="O39">
            <v>220019.35</v>
          </cell>
        </row>
        <row r="40">
          <cell r="B40">
            <v>550</v>
          </cell>
          <cell r="O40">
            <v>15599.56</v>
          </cell>
        </row>
        <row r="57">
          <cell r="B57">
            <v>0</v>
          </cell>
          <cell r="O57">
            <v>15715.44</v>
          </cell>
        </row>
      </sheetData>
      <sheetData sheetId="8">
        <row r="4">
          <cell r="G4">
            <v>1379273.9</v>
          </cell>
          <cell r="T4">
            <v>6281538.5099999998</v>
          </cell>
        </row>
        <row r="5">
          <cell r="G5">
            <v>0</v>
          </cell>
          <cell r="T5">
            <v>0</v>
          </cell>
        </row>
        <row r="6">
          <cell r="G6">
            <v>482018.3899999999</v>
          </cell>
          <cell r="T6">
            <v>2221116.3899999997</v>
          </cell>
        </row>
        <row r="7">
          <cell r="G7">
            <v>2750</v>
          </cell>
          <cell r="T7">
            <v>28131.57</v>
          </cell>
        </row>
        <row r="8">
          <cell r="G8">
            <v>41610.54</v>
          </cell>
          <cell r="T8">
            <v>53319.98</v>
          </cell>
        </row>
        <row r="9">
          <cell r="G9">
            <v>146847.85999999999</v>
          </cell>
          <cell r="T9">
            <v>683302.2</v>
          </cell>
        </row>
        <row r="10">
          <cell r="G10">
            <v>51853.38</v>
          </cell>
          <cell r="T10">
            <v>258031.23000000004</v>
          </cell>
        </row>
        <row r="11">
          <cell r="G11">
            <v>17282.95</v>
          </cell>
          <cell r="T11">
            <v>69200.95</v>
          </cell>
        </row>
        <row r="12">
          <cell r="G12">
            <v>7857.05</v>
          </cell>
          <cell r="T12">
            <v>46826.16</v>
          </cell>
        </row>
        <row r="13">
          <cell r="G13">
            <v>61853.26</v>
          </cell>
          <cell r="T13">
            <v>208785.12</v>
          </cell>
        </row>
        <row r="14">
          <cell r="G14">
            <v>6932.58</v>
          </cell>
          <cell r="T14">
            <v>33341.9</v>
          </cell>
        </row>
        <row r="15">
          <cell r="G15">
            <v>2340.14</v>
          </cell>
          <cell r="T15">
            <v>8296.35</v>
          </cell>
        </row>
        <row r="16">
          <cell r="G16">
            <v>13746.02</v>
          </cell>
          <cell r="T16">
            <v>89841.77</v>
          </cell>
        </row>
        <row r="17">
          <cell r="G17">
            <v>64533.77</v>
          </cell>
          <cell r="T17">
            <v>402485.62000000005</v>
          </cell>
        </row>
        <row r="18">
          <cell r="G18">
            <v>8895.24</v>
          </cell>
          <cell r="T18">
            <v>18382.75</v>
          </cell>
        </row>
        <row r="19">
          <cell r="G19">
            <v>0</v>
          </cell>
          <cell r="T19">
            <v>2712.5</v>
          </cell>
        </row>
        <row r="20">
          <cell r="G20">
            <v>806.99</v>
          </cell>
          <cell r="T20">
            <v>7494.53</v>
          </cell>
        </row>
        <row r="21">
          <cell r="G21">
            <v>0</v>
          </cell>
          <cell r="T21">
            <v>0</v>
          </cell>
        </row>
        <row r="22">
          <cell r="G22">
            <v>35628.5</v>
          </cell>
          <cell r="T22">
            <v>148639.70000000001</v>
          </cell>
        </row>
        <row r="23">
          <cell r="G23">
            <v>9394.66</v>
          </cell>
          <cell r="T23">
            <v>86839.84</v>
          </cell>
        </row>
        <row r="24">
          <cell r="G24">
            <v>5495.0099999999993</v>
          </cell>
          <cell r="T24">
            <v>26286.78</v>
          </cell>
        </row>
        <row r="25">
          <cell r="G25">
            <v>38558.06</v>
          </cell>
          <cell r="T25">
            <v>168702.87</v>
          </cell>
        </row>
        <row r="26">
          <cell r="G26">
            <v>500</v>
          </cell>
          <cell r="T26">
            <v>500</v>
          </cell>
        </row>
        <row r="27">
          <cell r="G27">
            <v>390.84</v>
          </cell>
          <cell r="T27">
            <v>2302.0500000000002</v>
          </cell>
        </row>
        <row r="28">
          <cell r="G28">
            <v>0</v>
          </cell>
          <cell r="T28">
            <v>80458</v>
          </cell>
        </row>
        <row r="29">
          <cell r="G29">
            <v>461.02</v>
          </cell>
          <cell r="T29">
            <v>1044.02</v>
          </cell>
        </row>
        <row r="30">
          <cell r="G30">
            <v>0</v>
          </cell>
          <cell r="T30">
            <v>0</v>
          </cell>
        </row>
        <row r="31">
          <cell r="G31">
            <v>0</v>
          </cell>
          <cell r="T31">
            <v>14506.15</v>
          </cell>
        </row>
        <row r="32">
          <cell r="G32">
            <v>0</v>
          </cell>
        </row>
        <row r="34">
          <cell r="G34">
            <v>28723</v>
          </cell>
          <cell r="T34">
            <v>171405.09</v>
          </cell>
        </row>
        <row r="35">
          <cell r="G35">
            <v>0</v>
          </cell>
          <cell r="T35">
            <v>132320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51"/>
  <sheetViews>
    <sheetView view="pageLayout" topLeftCell="A28" zoomScaleNormal="100" workbookViewId="0">
      <selection activeCell="D29" sqref="D29"/>
    </sheetView>
  </sheetViews>
  <sheetFormatPr defaultRowHeight="15.75" x14ac:dyDescent="0.25"/>
  <cols>
    <col min="1" max="1" width="2.140625" style="2" customWidth="1"/>
    <col min="2" max="2" width="49.7109375" style="2" customWidth="1"/>
    <col min="3" max="3" width="14.85546875" style="2" bestFit="1" customWidth="1"/>
    <col min="4" max="4" width="17" style="2" customWidth="1"/>
    <col min="5" max="5" width="16.140625" style="2" bestFit="1" customWidth="1"/>
    <col min="6" max="6" width="14.140625" style="2" bestFit="1" customWidth="1"/>
    <col min="7" max="7" width="11.42578125" style="2" bestFit="1" customWidth="1"/>
    <col min="8" max="16384" width="9.140625" style="2"/>
  </cols>
  <sheetData>
    <row r="3" spans="1:8" ht="22.5" x14ac:dyDescent="0.3">
      <c r="A3" s="254" t="s">
        <v>0</v>
      </c>
      <c r="B3" s="254"/>
      <c r="C3" s="254"/>
      <c r="D3" s="254"/>
      <c r="E3" s="254"/>
      <c r="F3" s="254"/>
      <c r="G3" s="254"/>
      <c r="H3" s="1"/>
    </row>
    <row r="4" spans="1:8" x14ac:dyDescent="0.25">
      <c r="B4" s="3"/>
      <c r="C4" s="3"/>
      <c r="D4" s="3"/>
      <c r="E4" s="3"/>
      <c r="F4" s="3"/>
      <c r="G4" s="3"/>
      <c r="H4" s="1"/>
    </row>
    <row r="5" spans="1:8" ht="11.25" customHeight="1" x14ac:dyDescent="0.25">
      <c r="C5" s="3"/>
      <c r="D5" s="3"/>
      <c r="E5" s="3"/>
      <c r="F5" s="3"/>
      <c r="G5" s="3"/>
      <c r="H5" s="3"/>
    </row>
    <row r="6" spans="1:8" s="4" customFormat="1" ht="20.25" customHeight="1" x14ac:dyDescent="0.3">
      <c r="C6" s="5"/>
      <c r="D6" s="6" t="s">
        <v>1</v>
      </c>
      <c r="E6" s="7"/>
      <c r="F6" s="8"/>
      <c r="G6" s="9"/>
    </row>
    <row r="7" spans="1:8" s="4" customFormat="1" ht="20.25" customHeight="1" x14ac:dyDescent="0.3">
      <c r="B7" s="255" t="s">
        <v>2</v>
      </c>
      <c r="C7" s="255"/>
      <c r="D7" s="10">
        <v>92159867.689999998</v>
      </c>
      <c r="E7" s="11"/>
      <c r="F7" s="12"/>
      <c r="G7" s="9"/>
    </row>
    <row r="8" spans="1:8" s="4" customFormat="1" ht="20.25" customHeight="1" x14ac:dyDescent="0.3">
      <c r="B8" s="255" t="s">
        <v>150</v>
      </c>
      <c r="C8" s="255"/>
      <c r="D8" s="10">
        <v>17733531.75</v>
      </c>
      <c r="E8" s="11"/>
      <c r="F8" s="12"/>
      <c r="G8" s="9"/>
    </row>
    <row r="9" spans="1:8" s="4" customFormat="1" ht="20.25" customHeight="1" x14ac:dyDescent="0.3">
      <c r="B9" s="255" t="s">
        <v>3</v>
      </c>
      <c r="C9" s="255"/>
      <c r="D9" s="10">
        <v>250142.61</v>
      </c>
      <c r="E9" s="11"/>
      <c r="F9" s="12"/>
      <c r="G9" s="9"/>
    </row>
    <row r="10" spans="1:8" s="4" customFormat="1" ht="20.25" customHeight="1" x14ac:dyDescent="0.3">
      <c r="B10" s="255" t="s">
        <v>4</v>
      </c>
      <c r="C10" s="255"/>
      <c r="D10" s="10">
        <v>21454.37</v>
      </c>
      <c r="E10" s="11"/>
      <c r="F10" s="12"/>
      <c r="G10" s="9"/>
    </row>
    <row r="11" spans="1:8" s="4" customFormat="1" ht="20.25" customHeight="1" x14ac:dyDescent="0.3">
      <c r="B11" s="255" t="s">
        <v>5</v>
      </c>
      <c r="C11" s="255"/>
      <c r="D11" s="10">
        <f>81.36+120+9541.5+43878.96</f>
        <v>53621.82</v>
      </c>
      <c r="E11" s="11"/>
      <c r="F11" s="12"/>
      <c r="G11" s="9"/>
    </row>
    <row r="12" spans="1:8" s="4" customFormat="1" ht="20.25" customHeight="1" x14ac:dyDescent="0.3">
      <c r="B12" s="255" t="s">
        <v>6</v>
      </c>
      <c r="C12" s="255"/>
      <c r="D12" s="10">
        <v>8448.69</v>
      </c>
      <c r="E12" s="11"/>
      <c r="F12" s="12"/>
      <c r="G12" s="9"/>
    </row>
    <row r="13" spans="1:8" s="4" customFormat="1" ht="20.25" customHeight="1" x14ac:dyDescent="0.3">
      <c r="B13" s="255" t="s">
        <v>7</v>
      </c>
      <c r="C13" s="255"/>
      <c r="D13" s="10">
        <v>2650166.83</v>
      </c>
      <c r="E13" s="11"/>
      <c r="F13" s="12"/>
      <c r="G13" s="9"/>
    </row>
    <row r="14" spans="1:8" s="4" customFormat="1" ht="20.25" customHeight="1" x14ac:dyDescent="0.3">
      <c r="B14" s="255" t="s">
        <v>8</v>
      </c>
      <c r="C14" s="255"/>
      <c r="D14" s="10">
        <v>39753.22</v>
      </c>
      <c r="E14" s="11"/>
      <c r="F14" s="12"/>
      <c r="G14" s="9"/>
    </row>
    <row r="15" spans="1:8" s="4" customFormat="1" ht="20.25" customHeight="1" thickBot="1" x14ac:dyDescent="0.35">
      <c r="B15" s="253" t="s">
        <v>9</v>
      </c>
      <c r="C15" s="253"/>
      <c r="D15" s="13">
        <f>SUM(D7:D14)</f>
        <v>112916986.97999999</v>
      </c>
      <c r="E15" s="5"/>
      <c r="F15" s="12"/>
      <c r="G15" s="9"/>
    </row>
    <row r="16" spans="1:8" ht="16.5" thickTop="1" x14ac:dyDescent="0.25">
      <c r="C16" s="14"/>
      <c r="D16" s="15"/>
      <c r="E16" s="14"/>
      <c r="F16" s="16"/>
      <c r="G16" s="17"/>
      <c r="H16" s="18"/>
    </row>
    <row r="17" spans="2:8" x14ac:dyDescent="0.25">
      <c r="C17" s="14"/>
      <c r="D17" s="15"/>
      <c r="E17" s="14"/>
      <c r="F17" s="16"/>
      <c r="G17" s="17"/>
      <c r="H17" s="18"/>
    </row>
    <row r="18" spans="2:8" ht="18" customHeight="1" x14ac:dyDescent="0.25">
      <c r="D18" s="19"/>
      <c r="E18" s="19"/>
      <c r="F18" s="19"/>
      <c r="G18" s="19"/>
      <c r="H18" s="19"/>
    </row>
    <row r="19" spans="2:8" x14ac:dyDescent="0.25">
      <c r="D19" s="19"/>
      <c r="E19" s="19"/>
      <c r="F19" s="19"/>
      <c r="G19" s="19"/>
      <c r="H19" s="19"/>
    </row>
    <row r="20" spans="2:8" s="21" customFormat="1" ht="20.25" x14ac:dyDescent="0.3">
      <c r="B20" s="252" t="s">
        <v>154</v>
      </c>
      <c r="C20" s="252"/>
      <c r="D20" s="252"/>
      <c r="E20" s="252"/>
      <c r="F20" s="252"/>
      <c r="G20" s="252"/>
      <c r="H20" s="20"/>
    </row>
    <row r="21" spans="2:8" x14ac:dyDescent="0.25">
      <c r="D21" s="19"/>
      <c r="E21" s="19"/>
      <c r="F21" s="19"/>
      <c r="G21" s="19"/>
      <c r="H21" s="19"/>
    </row>
    <row r="22" spans="2:8" s="4" customFormat="1" ht="20.25" customHeight="1" x14ac:dyDescent="0.3">
      <c r="B22" s="253" t="s">
        <v>10</v>
      </c>
      <c r="C22" s="253"/>
      <c r="D22" s="126">
        <v>34538534.43</v>
      </c>
      <c r="F22" s="10"/>
      <c r="G22" s="10"/>
      <c r="H22" s="10"/>
    </row>
    <row r="23" spans="2:8" s="4" customFormat="1" ht="20.25" customHeight="1" x14ac:dyDescent="0.3">
      <c r="B23" s="253" t="s">
        <v>11</v>
      </c>
      <c r="C23" s="253"/>
      <c r="D23" s="126">
        <v>5415.13</v>
      </c>
      <c r="F23" s="10"/>
      <c r="G23" s="10"/>
      <c r="H23" s="10"/>
    </row>
    <row r="24" spans="2:8" s="4" customFormat="1" ht="12" customHeight="1" x14ac:dyDescent="0.3">
      <c r="B24" s="22"/>
      <c r="C24" s="22"/>
      <c r="D24" s="127"/>
      <c r="F24" s="10"/>
      <c r="G24" s="10"/>
      <c r="H24" s="10"/>
    </row>
    <row r="25" spans="2:8" s="4" customFormat="1" ht="20.25" customHeight="1" x14ac:dyDescent="0.3">
      <c r="B25" s="253" t="s">
        <v>12</v>
      </c>
      <c r="C25" s="253"/>
      <c r="D25" s="127"/>
      <c r="F25" s="10"/>
      <c r="G25" s="10"/>
      <c r="H25" s="10"/>
    </row>
    <row r="26" spans="2:8" s="4" customFormat="1" ht="20.25" customHeight="1" x14ac:dyDescent="0.3">
      <c r="B26" s="253" t="s">
        <v>13</v>
      </c>
      <c r="C26" s="253"/>
      <c r="D26" s="126">
        <v>30457149.149999999</v>
      </c>
      <c r="F26" s="10"/>
      <c r="G26" s="10"/>
      <c r="H26" s="10"/>
    </row>
    <row r="27" spans="2:8" s="4" customFormat="1" ht="20.25" customHeight="1" x14ac:dyDescent="0.3">
      <c r="B27" s="253" t="s">
        <v>14</v>
      </c>
      <c r="C27" s="253"/>
      <c r="D27" s="128">
        <v>17053585.460000001</v>
      </c>
      <c r="F27" s="10"/>
      <c r="G27" s="10"/>
      <c r="H27" s="10"/>
    </row>
    <row r="28" spans="2:8" s="4" customFormat="1" ht="20.25" customHeight="1" x14ac:dyDescent="0.3">
      <c r="B28" s="253" t="s">
        <v>15</v>
      </c>
      <c r="C28" s="253"/>
      <c r="D28" s="129">
        <v>2631684.1800000002</v>
      </c>
    </row>
    <row r="29" spans="2:8" s="4" customFormat="1" ht="20.25" customHeight="1" x14ac:dyDescent="0.3">
      <c r="B29" s="253" t="s">
        <v>16</v>
      </c>
      <c r="C29" s="253"/>
      <c r="D29" s="126">
        <f>SUM(D26:D28)</f>
        <v>50142418.789999999</v>
      </c>
    </row>
    <row r="30" spans="2:8" s="4" customFormat="1" ht="20.25" customHeight="1" x14ac:dyDescent="0.3">
      <c r="B30" s="22"/>
      <c r="C30" s="22"/>
      <c r="D30" s="130"/>
    </row>
    <row r="31" spans="2:8" s="4" customFormat="1" ht="20.25" customHeight="1" x14ac:dyDescent="0.3">
      <c r="B31" s="253" t="s">
        <v>17</v>
      </c>
      <c r="C31" s="253"/>
      <c r="D31" s="126">
        <v>85596615.849999994</v>
      </c>
    </row>
    <row r="32" spans="2:8" s="4" customFormat="1" ht="18.75" x14ac:dyDescent="0.3"/>
    <row r="34" spans="1:25" ht="17.45" customHeight="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ht="17.45" customHeight="1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x14ac:dyDescent="0.25">
      <c r="A36" s="3"/>
      <c r="B36" s="3"/>
      <c r="C36" s="3"/>
      <c r="D36" s="3"/>
      <c r="E36" s="3"/>
      <c r="F36" s="3"/>
      <c r="G36" s="3"/>
    </row>
    <row r="37" spans="1:25" s="21" customFormat="1" ht="20.25" x14ac:dyDescent="0.3">
      <c r="B37" s="252" t="s">
        <v>18</v>
      </c>
      <c r="C37" s="252"/>
      <c r="D37" s="252"/>
      <c r="E37" s="252"/>
      <c r="F37" s="252"/>
      <c r="G37" s="252"/>
    </row>
    <row r="38" spans="1:25" s="21" customFormat="1" ht="20.25" x14ac:dyDescent="0.3">
      <c r="B38" s="25"/>
      <c r="C38" s="25"/>
      <c r="D38" s="25"/>
      <c r="E38" s="25"/>
      <c r="F38" s="25"/>
      <c r="G38" s="25"/>
    </row>
    <row r="39" spans="1:25" x14ac:dyDescent="0.25">
      <c r="B39" s="26"/>
      <c r="C39" s="26"/>
      <c r="D39" s="26"/>
      <c r="E39" s="26"/>
      <c r="F39" s="26"/>
      <c r="G39" s="26"/>
    </row>
    <row r="40" spans="1:25" s="4" customFormat="1" ht="20.25" customHeight="1" x14ac:dyDescent="0.3">
      <c r="B40" s="27"/>
      <c r="C40" s="28" t="s">
        <v>19</v>
      </c>
      <c r="D40" s="28" t="s">
        <v>20</v>
      </c>
      <c r="E40" s="28" t="s">
        <v>21</v>
      </c>
      <c r="F40" s="28" t="s">
        <v>123</v>
      </c>
      <c r="G40" s="28" t="s">
        <v>22</v>
      </c>
    </row>
    <row r="41" spans="1:25" s="4" customFormat="1" ht="20.25" customHeight="1" x14ac:dyDescent="0.3">
      <c r="B41" s="4" t="s">
        <v>143</v>
      </c>
      <c r="C41" s="10">
        <f>'[1]Contract '!$C$93</f>
        <v>30383851</v>
      </c>
      <c r="D41" s="10">
        <f>'[1]Contract '!$C$94</f>
        <v>264832</v>
      </c>
      <c r="E41" s="10">
        <f>'[1]Contract '!$C$90</f>
        <v>195176054</v>
      </c>
      <c r="F41" s="10">
        <f>'[1]Contract '!$C$91</f>
        <v>122798</v>
      </c>
      <c r="G41" s="10">
        <f>'[1]Contract '!$C$95</f>
        <v>451782</v>
      </c>
    </row>
    <row r="42" spans="1:25" s="4" customFormat="1" ht="20.25" customHeight="1" x14ac:dyDescent="0.3">
      <c r="B42" s="4" t="s">
        <v>23</v>
      </c>
      <c r="C42" s="10">
        <f>'[1]Contract '!$R$93</f>
        <v>15405373.129999999</v>
      </c>
      <c r="D42" s="10">
        <f>'[1]Contract '!$R$94</f>
        <v>260745.84</v>
      </c>
      <c r="E42" s="10">
        <f>'[1]Contract '!$R$90</f>
        <v>101203505.73999998</v>
      </c>
      <c r="F42" s="10">
        <f>'[1]Contract '!$R$91</f>
        <v>42137.279999999999</v>
      </c>
      <c r="G42" s="10">
        <v>350831</v>
      </c>
    </row>
    <row r="43" spans="1:25" s="4" customFormat="1" ht="20.25" customHeight="1" x14ac:dyDescent="0.3">
      <c r="B43" s="29"/>
      <c r="C43" s="10"/>
      <c r="D43" s="10"/>
      <c r="E43" s="10"/>
      <c r="F43" s="10"/>
      <c r="G43" s="10"/>
    </row>
    <row r="44" spans="1:25" s="4" customFormat="1" ht="20.25" customHeight="1" x14ac:dyDescent="0.3">
      <c r="B44" s="29"/>
      <c r="C44" s="10"/>
      <c r="D44" s="10"/>
      <c r="E44" s="10"/>
      <c r="F44" s="10"/>
      <c r="G44" s="10"/>
    </row>
    <row r="45" spans="1:25" s="4" customFormat="1" ht="20.25" customHeight="1" x14ac:dyDescent="0.3">
      <c r="B45" s="4" t="s">
        <v>144</v>
      </c>
      <c r="C45" s="10">
        <f>'[1]Contract '!$C$84</f>
        <v>29493605</v>
      </c>
      <c r="D45" s="10">
        <f>'[1]Contract '!$C$85</f>
        <v>529663</v>
      </c>
      <c r="E45" s="10">
        <f>'[1]Contract '!$C$81+'[1]Contract '!$C$83</f>
        <v>181373863</v>
      </c>
      <c r="F45" s="10">
        <f>'[1]Contract '!$C$82</f>
        <v>522363</v>
      </c>
      <c r="G45" s="10">
        <f>'[1]Contract '!$C$86</f>
        <v>252237</v>
      </c>
    </row>
    <row r="46" spans="1:25" s="4" customFormat="1" ht="20.25" customHeight="1" x14ac:dyDescent="0.3">
      <c r="B46" s="4" t="s">
        <v>23</v>
      </c>
      <c r="C46" s="10">
        <f>'[1]Contract '!$AE$84</f>
        <v>528255.45999999566</v>
      </c>
      <c r="D46" s="10">
        <f>'[1]Contract '!$AE$85</f>
        <v>9209.6500000000015</v>
      </c>
      <c r="E46" s="10">
        <f>'[1]Contract '!$AE$81</f>
        <v>1225435.2699999877</v>
      </c>
      <c r="F46" s="10">
        <f>'[1]Contract '!$AE$82</f>
        <v>92937.739999999962</v>
      </c>
      <c r="G46" s="10">
        <f>'[1]Contract '!$AE$86</f>
        <v>218848.83000000002</v>
      </c>
    </row>
    <row r="47" spans="1:25" s="4" customFormat="1" ht="20.25" customHeight="1" x14ac:dyDescent="0.3">
      <c r="C47" s="10"/>
      <c r="D47" s="10"/>
      <c r="E47" s="10"/>
      <c r="F47" s="10"/>
      <c r="G47" s="10"/>
    </row>
    <row r="48" spans="1:25" s="4" customFormat="1" ht="20.25" customHeight="1" x14ac:dyDescent="0.3">
      <c r="C48" s="10"/>
      <c r="D48" s="10"/>
      <c r="E48" s="10"/>
      <c r="F48" s="10"/>
      <c r="G48" s="10"/>
    </row>
    <row r="49" spans="2:7" s="4" customFormat="1" ht="20.25" customHeight="1" x14ac:dyDescent="0.3">
      <c r="B49" s="131" t="s">
        <v>147</v>
      </c>
      <c r="C49" s="10">
        <f>'[2]Contract '!$C$75</f>
        <v>28050790</v>
      </c>
      <c r="D49" s="10">
        <f>'[2]Contract '!$C$76</f>
        <v>476820</v>
      </c>
      <c r="E49" s="10">
        <f>'[2]Contract '!$C$72+'[2]Contract '!$C$74</f>
        <v>168263354</v>
      </c>
      <c r="F49" s="10">
        <f>'[2]Contract '!$C$73</f>
        <v>344693</v>
      </c>
      <c r="G49" s="10">
        <f>'[2]Contract '!$C$77</f>
        <v>462758</v>
      </c>
    </row>
    <row r="50" spans="2:7" s="4" customFormat="1" ht="20.25" customHeight="1" x14ac:dyDescent="0.3">
      <c r="B50" s="4" t="s">
        <v>23</v>
      </c>
      <c r="C50" s="10">
        <f>'[2]Contract '!$AT$66</f>
        <v>-3.2414391171187162E-9</v>
      </c>
      <c r="D50" s="10">
        <f>'[2]Contract '!$AT$67</f>
        <v>-2.0372681319713593E-10</v>
      </c>
      <c r="E50" s="10">
        <f>'[1]Contract '!$AS$72</f>
        <v>2123730.1900000186</v>
      </c>
      <c r="F50" s="10">
        <f>'[1]Contract '!$AS$73</f>
        <v>157803.83000000002</v>
      </c>
      <c r="G50" s="10">
        <f>'[2]Contract '!$AE$77</f>
        <v>9987.1199999999808</v>
      </c>
    </row>
    <row r="51" spans="2:7" x14ac:dyDescent="0.25">
      <c r="C51" s="19"/>
      <c r="D51" s="19"/>
      <c r="E51" s="19"/>
      <c r="F51" s="19"/>
      <c r="G51" s="19"/>
    </row>
  </sheetData>
  <mergeCells count="20">
    <mergeCell ref="B23:C23"/>
    <mergeCell ref="A3:G3"/>
    <mergeCell ref="B7:C7"/>
    <mergeCell ref="B9:C9"/>
    <mergeCell ref="B10:C10"/>
    <mergeCell ref="B11:C11"/>
    <mergeCell ref="B12:C12"/>
    <mergeCell ref="B13:C13"/>
    <mergeCell ref="B14:C14"/>
    <mergeCell ref="B15:C15"/>
    <mergeCell ref="B20:G20"/>
    <mergeCell ref="B22:C22"/>
    <mergeCell ref="B8:C8"/>
    <mergeCell ref="B37:G37"/>
    <mergeCell ref="B25:C25"/>
    <mergeCell ref="B26:C26"/>
    <mergeCell ref="B27:C27"/>
    <mergeCell ref="B28:C28"/>
    <mergeCell ref="B29:C29"/>
    <mergeCell ref="B31:C31"/>
  </mergeCells>
  <pageMargins left="0.7" right="0.7" top="0.75" bottom="0.75" header="0.3" footer="0.3"/>
  <pageSetup scale="72" fitToHeight="0" orientation="portrait" r:id="rId1"/>
  <headerFooter>
    <oddFooter>&amp;C&amp;F&amp;RPage &amp;P of 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view="pageLayout" topLeftCell="A28" zoomScaleNormal="100" workbookViewId="0">
      <selection activeCell="D30" sqref="D30"/>
    </sheetView>
  </sheetViews>
  <sheetFormatPr defaultRowHeight="15.75" x14ac:dyDescent="0.25"/>
  <cols>
    <col min="1" max="1" width="37.28515625" bestFit="1" customWidth="1"/>
    <col min="2" max="2" width="12.5703125" customWidth="1"/>
    <col min="3" max="4" width="14.28515625" customWidth="1"/>
    <col min="5" max="5" width="16.42578125" customWidth="1"/>
    <col min="7" max="7" width="15.28515625" hidden="1" customWidth="1"/>
    <col min="8" max="8" width="12.5703125" hidden="1" customWidth="1"/>
    <col min="9" max="9" width="14" style="2" hidden="1" customWidth="1"/>
  </cols>
  <sheetData>
    <row r="1" spans="1:9" ht="20.25" x14ac:dyDescent="0.3">
      <c r="A1" s="256" t="s">
        <v>24</v>
      </c>
      <c r="B1" s="256"/>
      <c r="C1" s="256"/>
      <c r="D1" s="256"/>
      <c r="E1" s="256"/>
      <c r="F1" s="256"/>
      <c r="G1" s="256"/>
    </row>
    <row r="2" spans="1:9" ht="20.25" x14ac:dyDescent="0.3">
      <c r="A2" s="30"/>
      <c r="B2" s="30"/>
      <c r="C2" s="30"/>
      <c r="D2" s="135"/>
      <c r="E2" s="30"/>
      <c r="F2" s="30"/>
      <c r="G2" s="31"/>
    </row>
    <row r="3" spans="1:9" x14ac:dyDescent="0.25">
      <c r="A3" s="257" t="s">
        <v>155</v>
      </c>
      <c r="B3" s="257"/>
      <c r="C3" s="257"/>
      <c r="D3" s="257"/>
      <c r="E3" s="257"/>
      <c r="F3" s="257"/>
      <c r="G3" s="257"/>
    </row>
    <row r="4" spans="1:9" x14ac:dyDescent="0.25">
      <c r="A4" s="109"/>
      <c r="B4" s="109"/>
      <c r="C4" s="109"/>
      <c r="D4" s="136"/>
      <c r="E4" s="109"/>
      <c r="F4" s="109"/>
      <c r="G4" s="110"/>
    </row>
    <row r="5" spans="1:9" x14ac:dyDescent="0.25">
      <c r="A5" s="111"/>
      <c r="B5" s="111"/>
      <c r="C5" s="111"/>
      <c r="D5" s="111"/>
      <c r="E5" s="111"/>
      <c r="F5" s="112"/>
      <c r="G5" s="111"/>
    </row>
    <row r="6" spans="1:9" ht="48" thickBot="1" x14ac:dyDescent="0.3">
      <c r="A6" s="113"/>
      <c r="B6" s="114" t="s">
        <v>25</v>
      </c>
      <c r="C6" s="37" t="s">
        <v>26</v>
      </c>
      <c r="D6" s="37" t="s">
        <v>153</v>
      </c>
      <c r="E6" s="114" t="s">
        <v>27</v>
      </c>
      <c r="F6" s="114" t="s">
        <v>28</v>
      </c>
      <c r="G6" s="115"/>
    </row>
    <row r="7" spans="1:9" ht="22.5" customHeight="1" x14ac:dyDescent="0.25">
      <c r="A7" s="116" t="s">
        <v>29</v>
      </c>
      <c r="B7" s="117">
        <v>30760273.359999999</v>
      </c>
      <c r="C7" s="117">
        <v>27694170.200000003</v>
      </c>
      <c r="D7" s="118">
        <v>0</v>
      </c>
      <c r="E7" s="106">
        <v>60167408</v>
      </c>
      <c r="F7" s="119">
        <f>B7/E7</f>
        <v>0.51124478156014297</v>
      </c>
      <c r="G7" s="118">
        <f>G30*F7</f>
        <v>99782739.093000665</v>
      </c>
      <c r="H7" s="105">
        <f>ROUND(G7,0)</f>
        <v>99782739</v>
      </c>
      <c r="I7" s="106">
        <v>60167408</v>
      </c>
    </row>
    <row r="8" spans="1:9" ht="22.5" customHeight="1" x14ac:dyDescent="0.25">
      <c r="A8" s="116" t="s">
        <v>30</v>
      </c>
      <c r="B8" s="117">
        <v>144647.45000000001</v>
      </c>
      <c r="C8" s="117">
        <v>8604</v>
      </c>
      <c r="D8" s="118">
        <v>0</v>
      </c>
      <c r="E8" s="106">
        <f>202554+400000</f>
        <v>602554</v>
      </c>
      <c r="F8" s="119">
        <f t="shared" ref="F8:F28" si="0">B8/E8</f>
        <v>0.24005723968308237</v>
      </c>
      <c r="G8" s="118">
        <f>G30*F8</f>
        <v>46853424.775476225</v>
      </c>
      <c r="H8" s="105">
        <f t="shared" ref="H8:H27" si="1">ROUND(G8,0)</f>
        <v>46853425</v>
      </c>
      <c r="I8" s="106">
        <v>202554</v>
      </c>
    </row>
    <row r="9" spans="1:9" ht="22.5" customHeight="1" x14ac:dyDescent="0.25">
      <c r="A9" s="116" t="s">
        <v>31</v>
      </c>
      <c r="B9" s="117">
        <v>640976.72</v>
      </c>
      <c r="C9" s="117">
        <v>599151.86999999988</v>
      </c>
      <c r="D9" s="118">
        <v>0</v>
      </c>
      <c r="E9" s="106">
        <f>1298402-100000</f>
        <v>1198402</v>
      </c>
      <c r="F9" s="119">
        <f t="shared" si="0"/>
        <v>0.53485952126248115</v>
      </c>
      <c r="G9" s="118">
        <f>G30*F9</f>
        <v>104391770.80434017</v>
      </c>
      <c r="H9" s="105">
        <f t="shared" si="1"/>
        <v>104391771</v>
      </c>
      <c r="I9" s="106">
        <v>1298402</v>
      </c>
    </row>
    <row r="10" spans="1:9" ht="22.5" customHeight="1" x14ac:dyDescent="0.25">
      <c r="A10" s="116" t="s">
        <v>32</v>
      </c>
      <c r="B10" s="117">
        <v>17691414.460000001</v>
      </c>
      <c r="C10" s="117">
        <v>17693361.499999996</v>
      </c>
      <c r="D10" s="118">
        <v>0</v>
      </c>
      <c r="E10" s="106">
        <f>37577350-200000</f>
        <v>37377350</v>
      </c>
      <c r="F10" s="119">
        <f t="shared" si="0"/>
        <v>0.47331912133952786</v>
      </c>
      <c r="G10" s="118">
        <f>G30*F10</f>
        <v>92380558.385796249</v>
      </c>
      <c r="H10" s="105">
        <f t="shared" si="1"/>
        <v>92380558</v>
      </c>
      <c r="I10" s="106">
        <v>37577350</v>
      </c>
    </row>
    <row r="11" spans="1:9" ht="22.5" customHeight="1" x14ac:dyDescent="0.25">
      <c r="A11" s="116" t="s">
        <v>33</v>
      </c>
      <c r="B11" s="117">
        <v>857439.45</v>
      </c>
      <c r="C11" s="117">
        <v>805501.25000000023</v>
      </c>
      <c r="D11" s="118">
        <v>0</v>
      </c>
      <c r="E11" s="106">
        <v>1721757</v>
      </c>
      <c r="F11" s="119">
        <f t="shared" si="0"/>
        <v>0.49800259270036362</v>
      </c>
      <c r="G11" s="118">
        <f>G30*F11</f>
        <v>97198180.925026178</v>
      </c>
      <c r="H11" s="105">
        <f t="shared" si="1"/>
        <v>97198181</v>
      </c>
      <c r="I11" s="106">
        <v>1721757</v>
      </c>
    </row>
    <row r="12" spans="1:9" ht="22.5" customHeight="1" x14ac:dyDescent="0.25">
      <c r="A12" s="116" t="s">
        <v>34</v>
      </c>
      <c r="B12" s="117">
        <v>261444.04</v>
      </c>
      <c r="C12" s="117">
        <v>275091.21000000002</v>
      </c>
      <c r="D12" s="118">
        <v>0</v>
      </c>
      <c r="E12" s="106">
        <f>980174-400000</f>
        <v>580174</v>
      </c>
      <c r="F12" s="119">
        <f t="shared" si="0"/>
        <v>0.45063039708777025</v>
      </c>
      <c r="G12" s="118">
        <f>G30*F12</f>
        <v>87952262.716044083</v>
      </c>
      <c r="H12" s="105">
        <f t="shared" si="1"/>
        <v>87952263</v>
      </c>
      <c r="I12" s="106">
        <v>980174</v>
      </c>
    </row>
    <row r="13" spans="1:9" ht="22.5" customHeight="1" x14ac:dyDescent="0.25">
      <c r="A13" s="116" t="s">
        <v>35</v>
      </c>
      <c r="B13" s="117">
        <v>300943.51</v>
      </c>
      <c r="C13" s="117">
        <v>256597.82000000004</v>
      </c>
      <c r="D13" s="118">
        <v>0</v>
      </c>
      <c r="E13" s="106">
        <v>586448</v>
      </c>
      <c r="F13" s="119">
        <f t="shared" si="0"/>
        <v>0.51316316195127276</v>
      </c>
      <c r="G13" s="118">
        <f>G30*F13</f>
        <v>100157161.00781235</v>
      </c>
      <c r="H13" s="105">
        <f t="shared" si="1"/>
        <v>100157161</v>
      </c>
      <c r="I13" s="106">
        <v>586448</v>
      </c>
    </row>
    <row r="14" spans="1:9" ht="22.5" customHeight="1" x14ac:dyDescent="0.25">
      <c r="A14" s="116" t="s">
        <v>36</v>
      </c>
      <c r="B14" s="117">
        <v>11000542.74</v>
      </c>
      <c r="C14" s="117">
        <v>10480053.050000001</v>
      </c>
      <c r="D14" s="118">
        <v>0</v>
      </c>
      <c r="E14" s="106">
        <v>23097726</v>
      </c>
      <c r="F14" s="119">
        <f t="shared" si="0"/>
        <v>0.47626085528939083</v>
      </c>
      <c r="G14" s="118">
        <f>G30*F14</f>
        <v>92954714.410048336</v>
      </c>
      <c r="H14" s="105">
        <f t="shared" si="1"/>
        <v>92954714</v>
      </c>
      <c r="I14" s="106">
        <v>23097726</v>
      </c>
    </row>
    <row r="15" spans="1:9" ht="22.5" customHeight="1" x14ac:dyDescent="0.25">
      <c r="A15" s="116" t="s">
        <v>37</v>
      </c>
      <c r="B15" s="117">
        <v>576188.94999999995</v>
      </c>
      <c r="C15" s="117">
        <v>276706.12000000005</v>
      </c>
      <c r="D15" s="118">
        <v>0</v>
      </c>
      <c r="E15" s="106">
        <f>705686+300000</f>
        <v>1005686</v>
      </c>
      <c r="F15" s="119">
        <f t="shared" si="0"/>
        <v>0.57293126283949458</v>
      </c>
      <c r="G15" s="118">
        <f>G30*F15</f>
        <v>111822463.09424938</v>
      </c>
      <c r="H15" s="105">
        <f t="shared" si="1"/>
        <v>111822463</v>
      </c>
      <c r="I15" s="106">
        <v>705686</v>
      </c>
    </row>
    <row r="16" spans="1:9" ht="22.5" customHeight="1" x14ac:dyDescent="0.25">
      <c r="A16" s="116" t="s">
        <v>38</v>
      </c>
      <c r="B16" s="117">
        <v>1231014.22</v>
      </c>
      <c r="C16" s="117">
        <v>1074829.51</v>
      </c>
      <c r="D16" s="118">
        <v>0</v>
      </c>
      <c r="E16" s="106">
        <v>2467131</v>
      </c>
      <c r="F16" s="119">
        <f t="shared" si="0"/>
        <v>0.49896589196114838</v>
      </c>
      <c r="G16" s="118">
        <f>G30*F16</f>
        <v>97386193.873567268</v>
      </c>
      <c r="H16" s="105">
        <f t="shared" si="1"/>
        <v>97386194</v>
      </c>
      <c r="I16" s="106">
        <v>2467131</v>
      </c>
    </row>
    <row r="17" spans="1:10" ht="22.5" customHeight="1" x14ac:dyDescent="0.25">
      <c r="A17" s="116" t="s">
        <v>39</v>
      </c>
      <c r="B17" s="117">
        <v>8233309.5499999998</v>
      </c>
      <c r="C17" s="117">
        <v>8107384.8499999996</v>
      </c>
      <c r="D17" s="118">
        <v>0</v>
      </c>
      <c r="E17" s="106">
        <v>17323149</v>
      </c>
      <c r="F17" s="119">
        <f t="shared" si="0"/>
        <v>0.47527788105961566</v>
      </c>
      <c r="G17" s="118">
        <f>G30*F17</f>
        <v>92762861.378697127</v>
      </c>
      <c r="H17" s="105">
        <f t="shared" si="1"/>
        <v>92762861</v>
      </c>
      <c r="I17" s="106">
        <v>17323149</v>
      </c>
    </row>
    <row r="18" spans="1:10" ht="22.5" customHeight="1" x14ac:dyDescent="0.25">
      <c r="A18" s="116" t="s">
        <v>40</v>
      </c>
      <c r="B18" s="117">
        <v>6811127.1699999999</v>
      </c>
      <c r="C18" s="117">
        <v>6048453.0499999998</v>
      </c>
      <c r="D18" s="118">
        <v>0</v>
      </c>
      <c r="E18" s="106">
        <v>13527861</v>
      </c>
      <c r="F18" s="119">
        <f t="shared" si="0"/>
        <v>0.50348884941972716</v>
      </c>
      <c r="G18" s="118">
        <f>G30*F18</f>
        <v>98268966.862742543</v>
      </c>
      <c r="H18" s="105">
        <f t="shared" si="1"/>
        <v>98268967</v>
      </c>
      <c r="I18" s="106">
        <v>13527861</v>
      </c>
    </row>
    <row r="19" spans="1:10" ht="22.5" customHeight="1" x14ac:dyDescent="0.25">
      <c r="A19" s="116" t="s">
        <v>41</v>
      </c>
      <c r="B19" s="117">
        <v>9308926.1400000006</v>
      </c>
      <c r="C19" s="117">
        <v>8762714.3499999996</v>
      </c>
      <c r="D19" s="118">
        <v>0</v>
      </c>
      <c r="E19" s="106">
        <v>18885039</v>
      </c>
      <c r="F19" s="119">
        <f t="shared" si="0"/>
        <v>0.49292596854049392</v>
      </c>
      <c r="G19" s="118">
        <f>G30*F19</f>
        <v>96207345.453861743</v>
      </c>
      <c r="H19" s="105">
        <f t="shared" si="1"/>
        <v>96207345</v>
      </c>
      <c r="I19" s="106">
        <v>18885039</v>
      </c>
    </row>
    <row r="20" spans="1:10" ht="22.5" customHeight="1" x14ac:dyDescent="0.25">
      <c r="A20" s="116" t="s">
        <v>42</v>
      </c>
      <c r="B20" s="117">
        <v>22378.05</v>
      </c>
      <c r="C20" s="117">
        <v>23232.16</v>
      </c>
      <c r="D20" s="118">
        <v>0</v>
      </c>
      <c r="E20" s="106">
        <v>51695</v>
      </c>
      <c r="F20" s="119">
        <f t="shared" si="0"/>
        <v>0.43288615920301771</v>
      </c>
      <c r="G20" s="118">
        <f>G30*F20</f>
        <v>84489012.384460777</v>
      </c>
      <c r="H20" s="105">
        <f t="shared" si="1"/>
        <v>84489012</v>
      </c>
      <c r="I20" s="106">
        <v>51695</v>
      </c>
    </row>
    <row r="21" spans="1:10" ht="22.5" customHeight="1" x14ac:dyDescent="0.25">
      <c r="A21" s="116" t="s">
        <v>43</v>
      </c>
      <c r="B21" s="117">
        <v>230000</v>
      </c>
      <c r="C21" s="117">
        <v>230000</v>
      </c>
      <c r="D21" s="118">
        <v>0</v>
      </c>
      <c r="E21" s="106">
        <v>538049</v>
      </c>
      <c r="F21" s="119">
        <f t="shared" si="0"/>
        <v>0.42747036050619924</v>
      </c>
      <c r="G21" s="118">
        <f>G30*F21</f>
        <v>83431978.165557414</v>
      </c>
      <c r="H21" s="105">
        <f t="shared" si="1"/>
        <v>83431978</v>
      </c>
      <c r="I21" s="106">
        <v>538049</v>
      </c>
    </row>
    <row r="22" spans="1:10" ht="22.5" customHeight="1" x14ac:dyDescent="0.25">
      <c r="A22" s="116" t="s">
        <v>44</v>
      </c>
      <c r="B22" s="117">
        <v>150388.16</v>
      </c>
      <c r="C22" s="117">
        <v>173575.73</v>
      </c>
      <c r="D22" s="118">
        <v>0</v>
      </c>
      <c r="E22" s="106">
        <v>508768</v>
      </c>
      <c r="F22" s="119">
        <f t="shared" si="0"/>
        <v>0.29559280457890436</v>
      </c>
      <c r="G22" s="118">
        <f>G30*F22</f>
        <v>57692637.188503683</v>
      </c>
      <c r="H22" s="105">
        <f t="shared" si="1"/>
        <v>57692637</v>
      </c>
      <c r="I22" s="106">
        <v>508768</v>
      </c>
    </row>
    <row r="23" spans="1:10" ht="22.5" customHeight="1" x14ac:dyDescent="0.25">
      <c r="A23" s="116" t="s">
        <v>45</v>
      </c>
      <c r="B23" s="117">
        <v>1802783.51</v>
      </c>
      <c r="C23" s="117">
        <v>1387505.59</v>
      </c>
      <c r="D23" s="118">
        <v>0</v>
      </c>
      <c r="E23" s="106">
        <v>3285985</v>
      </c>
      <c r="F23" s="119">
        <f t="shared" si="0"/>
        <v>0.54862803999409615</v>
      </c>
      <c r="G23" s="118">
        <f>G30*F23</f>
        <v>107079055.95980187</v>
      </c>
      <c r="H23" s="105">
        <f t="shared" si="1"/>
        <v>107079056</v>
      </c>
      <c r="I23" s="106">
        <v>3285985</v>
      </c>
    </row>
    <row r="24" spans="1:10" ht="22.5" customHeight="1" x14ac:dyDescent="0.25">
      <c r="A24" s="116" t="s">
        <v>46</v>
      </c>
      <c r="B24" s="117">
        <v>25660.6</v>
      </c>
      <c r="C24" s="117">
        <v>16124.380000000001</v>
      </c>
      <c r="D24" s="118">
        <v>0</v>
      </c>
      <c r="E24" s="106">
        <v>83434</v>
      </c>
      <c r="F24" s="119">
        <f t="shared" si="0"/>
        <v>0.30755567274732121</v>
      </c>
      <c r="G24" s="118">
        <f>G30*F24</f>
        <v>60027502.592137493</v>
      </c>
      <c r="H24" s="105">
        <f t="shared" si="1"/>
        <v>60027503</v>
      </c>
      <c r="I24" s="106">
        <v>83434</v>
      </c>
    </row>
    <row r="25" spans="1:10" ht="22.5" customHeight="1" x14ac:dyDescent="0.25">
      <c r="A25" s="116" t="s">
        <v>47</v>
      </c>
      <c r="B25" s="117">
        <v>5917916.79</v>
      </c>
      <c r="C25" s="117">
        <v>4926672.66</v>
      </c>
      <c r="D25" s="118">
        <v>0</v>
      </c>
      <c r="E25" s="106">
        <v>11360367</v>
      </c>
      <c r="F25" s="119">
        <f t="shared" si="0"/>
        <v>0.52092655017219069</v>
      </c>
      <c r="G25" s="118">
        <f>G30*F25</f>
        <v>101672388.4864412</v>
      </c>
      <c r="H25" s="105">
        <f t="shared" si="1"/>
        <v>101672388</v>
      </c>
      <c r="I25" s="106">
        <v>11360367</v>
      </c>
    </row>
    <row r="26" spans="1:10" ht="22.5" customHeight="1" x14ac:dyDescent="0.25">
      <c r="A26" s="116" t="s">
        <v>48</v>
      </c>
      <c r="B26" s="117">
        <v>265533.36</v>
      </c>
      <c r="C26" s="117">
        <v>259776.3</v>
      </c>
      <c r="D26" s="118">
        <v>0</v>
      </c>
      <c r="E26" s="106">
        <v>710225</v>
      </c>
      <c r="F26" s="119">
        <f>B26/E26</f>
        <v>0.37387216727093525</v>
      </c>
      <c r="G26" s="118">
        <f>G30*F26</f>
        <v>72970894.308369085</v>
      </c>
      <c r="H26" s="105">
        <f t="shared" si="1"/>
        <v>72970894</v>
      </c>
      <c r="I26" s="106">
        <v>710225</v>
      </c>
    </row>
    <row r="27" spans="1:10" ht="22.5" customHeight="1" x14ac:dyDescent="0.25">
      <c r="A27" s="116" t="s">
        <v>49</v>
      </c>
      <c r="B27" s="117">
        <v>27545.16</v>
      </c>
      <c r="C27" s="117">
        <v>15599.56</v>
      </c>
      <c r="D27" s="118">
        <v>0</v>
      </c>
      <c r="E27" s="106">
        <v>96846</v>
      </c>
      <c r="F27" s="119">
        <f t="shared" si="0"/>
        <v>0.28442227866922742</v>
      </c>
      <c r="G27" s="118">
        <f>G30*F27</f>
        <v>55512418.020348176</v>
      </c>
      <c r="H27" s="105">
        <f t="shared" si="1"/>
        <v>55512418</v>
      </c>
      <c r="I27" s="106">
        <v>96846</v>
      </c>
    </row>
    <row r="28" spans="1:10" ht="22.5" customHeight="1" thickBot="1" x14ac:dyDescent="0.3">
      <c r="A28" s="116"/>
      <c r="B28" s="120">
        <f>SUM(B7:B27)</f>
        <v>96260453.390000001</v>
      </c>
      <c r="C28" s="120">
        <f>SUM(C7:C27)</f>
        <v>89115105.159999982</v>
      </c>
      <c r="D28" s="120">
        <f>SUM(D7:D27)</f>
        <v>0</v>
      </c>
      <c r="E28" s="108">
        <f>SUM(E7:E27)</f>
        <v>195176054</v>
      </c>
      <c r="F28" s="132">
        <f t="shared" si="0"/>
        <v>0.49319807126544324</v>
      </c>
      <c r="G28" s="118">
        <f>G30-E28</f>
        <v>0</v>
      </c>
      <c r="H28" s="105">
        <f>SUM(H7:H27)</f>
        <v>1840994528</v>
      </c>
      <c r="I28" s="107">
        <f>SUM(I7:I27)</f>
        <v>195176054</v>
      </c>
    </row>
    <row r="29" spans="1:10" ht="22.5" customHeight="1" thickTop="1" x14ac:dyDescent="0.3">
      <c r="A29" s="116"/>
      <c r="B29" s="10"/>
      <c r="C29" s="118"/>
      <c r="D29" s="118"/>
      <c r="E29" s="118"/>
      <c r="F29" s="119"/>
      <c r="G29" s="118"/>
      <c r="H29" s="105"/>
      <c r="I29" s="106"/>
      <c r="J29" s="105"/>
    </row>
    <row r="30" spans="1:10" ht="22.5" customHeight="1" x14ac:dyDescent="0.25">
      <c r="A30" s="116" t="s">
        <v>50</v>
      </c>
      <c r="B30" s="118">
        <v>33720</v>
      </c>
      <c r="C30" s="118">
        <f>'Prior Year'!C70</f>
        <v>15715.44</v>
      </c>
      <c r="D30" s="118"/>
      <c r="E30" s="118">
        <v>122795</v>
      </c>
      <c r="F30" s="119"/>
      <c r="G30" s="121">
        <v>195176054</v>
      </c>
    </row>
    <row r="31" spans="1:10" ht="22.5" customHeight="1" thickBot="1" x14ac:dyDescent="0.3">
      <c r="A31" s="122" t="s">
        <v>51</v>
      </c>
      <c r="B31" s="123">
        <f t="shared" ref="B31" si="2">B28+B30</f>
        <v>96294173.390000001</v>
      </c>
      <c r="C31" s="123">
        <f>SUM(C28+C30)</f>
        <v>89130820.599999979</v>
      </c>
      <c r="D31" s="123">
        <f>SUM(D28+D30)</f>
        <v>0</v>
      </c>
      <c r="E31" s="123">
        <f>E28+E30</f>
        <v>195298849</v>
      </c>
      <c r="F31" s="132">
        <f t="shared" ref="F31" si="3">B31/E31</f>
        <v>0.49306062930253114</v>
      </c>
      <c r="G31" s="124"/>
    </row>
    <row r="32" spans="1:10" ht="16.5" thickTop="1" x14ac:dyDescent="0.25">
      <c r="A32" s="125"/>
      <c r="B32" s="125"/>
      <c r="C32" s="125"/>
      <c r="D32" s="125"/>
      <c r="E32" s="125"/>
      <c r="F32" s="125"/>
      <c r="G32" s="125"/>
    </row>
    <row r="33" spans="4:5" x14ac:dyDescent="0.25">
      <c r="D33" s="105"/>
      <c r="E33" s="105"/>
    </row>
  </sheetData>
  <mergeCells count="2">
    <mergeCell ref="A1:G1"/>
    <mergeCell ref="A3:G3"/>
  </mergeCells>
  <pageMargins left="0.7" right="0.7" top="0.75" bottom="0.75" header="0.3" footer="0.3"/>
  <pageSetup scale="86" orientation="portrait" r:id="rId1"/>
  <headerFooter>
    <oddFooter>&amp;C&amp;F&amp;RPage 2 of 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view="pageLayout" zoomScaleNormal="100" workbookViewId="0">
      <selection activeCell="C26" sqref="C26"/>
    </sheetView>
  </sheetViews>
  <sheetFormatPr defaultRowHeight="15" x14ac:dyDescent="0.25"/>
  <cols>
    <col min="1" max="1" width="50" customWidth="1"/>
    <col min="2" max="3" width="14.5703125" bestFit="1" customWidth="1"/>
    <col min="4" max="4" width="14.5703125" customWidth="1"/>
    <col min="5" max="5" width="14.5703125" bestFit="1" customWidth="1"/>
    <col min="6" max="6" width="10" bestFit="1" customWidth="1"/>
    <col min="7" max="7" width="10.42578125" style="101" customWidth="1"/>
    <col min="8" max="8" width="14.28515625" bestFit="1" customWidth="1"/>
  </cols>
  <sheetData>
    <row r="1" spans="1:7" ht="20.25" x14ac:dyDescent="0.3">
      <c r="A1" s="256" t="s">
        <v>145</v>
      </c>
      <c r="B1" s="256"/>
      <c r="C1" s="256"/>
      <c r="D1" s="256"/>
      <c r="E1" s="256"/>
      <c r="F1" s="256"/>
      <c r="G1" s="256"/>
    </row>
    <row r="2" spans="1:7" ht="20.25" x14ac:dyDescent="0.3">
      <c r="A2" s="104"/>
      <c r="B2" s="104"/>
      <c r="C2" s="104"/>
      <c r="D2" s="135"/>
      <c r="E2" s="104"/>
      <c r="F2" s="104"/>
      <c r="G2" s="104"/>
    </row>
    <row r="3" spans="1:7" ht="15.75" x14ac:dyDescent="0.25">
      <c r="A3" s="257" t="s">
        <v>155</v>
      </c>
      <c r="B3" s="257"/>
      <c r="C3" s="257"/>
      <c r="D3" s="257"/>
      <c r="E3" s="257"/>
      <c r="F3" s="257"/>
      <c r="G3" s="257"/>
    </row>
    <row r="4" spans="1:7" ht="16.5" x14ac:dyDescent="0.25">
      <c r="A4" s="32"/>
      <c r="B4" s="32"/>
      <c r="C4" s="32"/>
      <c r="D4" s="32"/>
      <c r="E4" s="32"/>
      <c r="F4" s="32"/>
      <c r="G4" s="91"/>
    </row>
    <row r="5" spans="1:7" ht="16.5" x14ac:dyDescent="0.25">
      <c r="A5" s="32"/>
      <c r="B5" s="32"/>
      <c r="C5" s="32"/>
      <c r="D5" s="32"/>
      <c r="E5" s="32"/>
      <c r="F5" s="32"/>
      <c r="G5" s="91"/>
    </row>
    <row r="6" spans="1:7" ht="16.5" x14ac:dyDescent="0.25">
      <c r="A6" s="46"/>
      <c r="B6" s="258"/>
      <c r="C6" s="258"/>
      <c r="D6" s="137"/>
      <c r="E6" s="33"/>
      <c r="F6" s="34"/>
      <c r="G6" s="91"/>
    </row>
    <row r="7" spans="1:7" ht="50.25" thickBot="1" x14ac:dyDescent="0.3">
      <c r="A7" s="35"/>
      <c r="B7" s="36" t="s">
        <v>25</v>
      </c>
      <c r="C7" s="37" t="s">
        <v>26</v>
      </c>
      <c r="D7" s="37" t="s">
        <v>153</v>
      </c>
      <c r="E7" s="36" t="s">
        <v>27</v>
      </c>
      <c r="F7" s="36" t="s">
        <v>28</v>
      </c>
      <c r="G7" s="97"/>
    </row>
    <row r="8" spans="1:7" ht="24" customHeight="1" x14ac:dyDescent="0.25">
      <c r="A8" s="38" t="s">
        <v>53</v>
      </c>
      <c r="B8" s="41">
        <f>665822.85+307950.94+6694206.84+224382.76+960423.19</f>
        <v>8852786.5800000001</v>
      </c>
      <c r="C8" s="40">
        <v>8261125.4500000002</v>
      </c>
      <c r="D8" s="40">
        <v>0</v>
      </c>
      <c r="E8" s="41">
        <f>17762001.4+522940.81-500000+3443</f>
        <v>17788385.209999997</v>
      </c>
      <c r="F8" s="134">
        <f>B8/E8</f>
        <v>0.4976722999580242</v>
      </c>
      <c r="G8" s="98"/>
    </row>
    <row r="9" spans="1:7" ht="24" customHeight="1" x14ac:dyDescent="0.25">
      <c r="A9" s="38" t="s">
        <v>54</v>
      </c>
      <c r="B9" s="41">
        <f>2090</f>
        <v>2090</v>
      </c>
      <c r="C9" s="40">
        <f>'Prior Year'!C85</f>
        <v>0</v>
      </c>
      <c r="D9" s="40">
        <v>0</v>
      </c>
      <c r="E9" s="41">
        <f>5000+10000</f>
        <v>15000</v>
      </c>
      <c r="F9" s="134">
        <f t="shared" ref="F9:F12" si="0">B9/E9</f>
        <v>0.13933333333333334</v>
      </c>
      <c r="G9" s="98"/>
    </row>
    <row r="10" spans="1:7" ht="24" customHeight="1" x14ac:dyDescent="0.25">
      <c r="A10" s="38" t="s">
        <v>55</v>
      </c>
      <c r="B10" s="41">
        <f>353163.92+14380.19+144256.62+29931.85+1116+1980.26+94592.42+84620.97+7233.28+11702.22+3359.86+62614.66+20718.52+852.79+3815.07+362396.12+100661.32+1352523.69+157428.74+16596.89+40041.38+23135.76+6149.08+79216.63+7247.39+1026.45+1312.23+38334.66+9945.16+42012.06+13819.99+341.77+2509.86</f>
        <v>3089037.8100000005</v>
      </c>
      <c r="C10" s="40">
        <v>2975151.83</v>
      </c>
      <c r="D10" s="40">
        <v>0</v>
      </c>
      <c r="E10" s="41">
        <f>5403945.44+500000+165000</f>
        <v>6068945.4400000004</v>
      </c>
      <c r="F10" s="134">
        <f t="shared" si="0"/>
        <v>0.50899086843660934</v>
      </c>
      <c r="G10" s="98"/>
    </row>
    <row r="11" spans="1:7" ht="24" customHeight="1" x14ac:dyDescent="0.25">
      <c r="A11" s="38" t="s">
        <v>56</v>
      </c>
      <c r="B11" s="41">
        <f>29000+1329.5</f>
        <v>30329.5</v>
      </c>
      <c r="C11" s="40">
        <v>46437.35</v>
      </c>
      <c r="D11" s="40">
        <v>0</v>
      </c>
      <c r="E11" s="41">
        <f>60000+25000</f>
        <v>85000</v>
      </c>
      <c r="F11" s="134">
        <f t="shared" si="0"/>
        <v>0.35681764705882352</v>
      </c>
      <c r="G11" s="98"/>
    </row>
    <row r="12" spans="1:7" ht="24" customHeight="1" thickBot="1" x14ac:dyDescent="0.3">
      <c r="A12" s="47" t="s">
        <v>57</v>
      </c>
      <c r="B12" s="43">
        <f>SUM(B8:B11)</f>
        <v>11974243.890000001</v>
      </c>
      <c r="C12" s="43">
        <f>SUM(C8:C11)</f>
        <v>11282714.630000001</v>
      </c>
      <c r="D12" s="43">
        <v>0</v>
      </c>
      <c r="E12" s="43">
        <f>SUM(E8:E11)</f>
        <v>23957330.649999999</v>
      </c>
      <c r="F12" s="133">
        <f t="shared" si="0"/>
        <v>0.49981544542400852</v>
      </c>
      <c r="G12" s="99"/>
    </row>
    <row r="13" spans="1:7" ht="17.25" thickTop="1" x14ac:dyDescent="0.25">
      <c r="A13" s="38"/>
      <c r="B13" s="40"/>
      <c r="C13" s="40"/>
      <c r="D13" s="40"/>
      <c r="E13" s="40"/>
      <c r="F13" s="45"/>
      <c r="G13" s="98"/>
    </row>
    <row r="14" spans="1:7" ht="16.5" x14ac:dyDescent="0.25">
      <c r="A14" s="38"/>
      <c r="B14" s="40"/>
      <c r="C14" s="40"/>
      <c r="D14" s="40"/>
      <c r="E14" s="40"/>
      <c r="F14" s="45"/>
      <c r="G14" s="98"/>
    </row>
    <row r="15" spans="1:7" ht="16.5" x14ac:dyDescent="0.25">
      <c r="A15" s="38"/>
      <c r="B15" s="40"/>
      <c r="C15" s="40"/>
      <c r="D15" s="40"/>
      <c r="E15" s="39"/>
      <c r="F15" s="45"/>
      <c r="G15" s="98"/>
    </row>
    <row r="16" spans="1:7" ht="50.25" thickBot="1" x14ac:dyDescent="0.3">
      <c r="A16" s="35"/>
      <c r="B16" s="36" t="s">
        <v>25</v>
      </c>
      <c r="C16" s="37" t="s">
        <v>26</v>
      </c>
      <c r="D16" s="37" t="s">
        <v>153</v>
      </c>
      <c r="E16" s="36" t="s">
        <v>27</v>
      </c>
      <c r="F16" s="36" t="s">
        <v>28</v>
      </c>
      <c r="G16" s="97"/>
    </row>
    <row r="17" spans="1:8" ht="24" customHeight="1" x14ac:dyDescent="0.25">
      <c r="A17" s="38" t="s">
        <v>58</v>
      </c>
      <c r="B17" s="41">
        <f>1066168-150270</f>
        <v>915898</v>
      </c>
      <c r="C17" s="40">
        <f>977625.92-140000</f>
        <v>837625.92</v>
      </c>
      <c r="D17" s="40">
        <v>0</v>
      </c>
      <c r="E17" s="41">
        <v>1875000</v>
      </c>
      <c r="F17" s="134">
        <f>B17/E17</f>
        <v>0.48847893333333331</v>
      </c>
      <c r="G17" s="98"/>
    </row>
    <row r="18" spans="1:8" ht="24" customHeight="1" x14ac:dyDescent="0.25">
      <c r="A18" s="38" t="s">
        <v>59</v>
      </c>
      <c r="B18" s="41">
        <f>238027.22+39426.21+42059.72</f>
        <v>319513.15000000002</v>
      </c>
      <c r="C18" s="40">
        <v>376757.22</v>
      </c>
      <c r="D18" s="40">
        <v>0</v>
      </c>
      <c r="E18" s="41">
        <f>551000-35000</f>
        <v>516000</v>
      </c>
      <c r="F18" s="134">
        <f t="shared" ref="F18:F28" si="1">B18/E18</f>
        <v>0.61921153100775195</v>
      </c>
      <c r="G18" s="98"/>
    </row>
    <row r="19" spans="1:8" ht="24" customHeight="1" x14ac:dyDescent="0.25">
      <c r="A19" s="38" t="s">
        <v>60</v>
      </c>
      <c r="B19" s="41">
        <v>806231.03</v>
      </c>
      <c r="C19" s="40">
        <v>466896.48</v>
      </c>
      <c r="D19" s="40">
        <v>0</v>
      </c>
      <c r="E19" s="41">
        <v>1623000.87</v>
      </c>
      <c r="F19" s="134">
        <f t="shared" si="1"/>
        <v>0.49675329502441978</v>
      </c>
      <c r="G19" s="98"/>
    </row>
    <row r="20" spans="1:8" ht="24" customHeight="1" x14ac:dyDescent="0.25">
      <c r="A20" s="38" t="s">
        <v>61</v>
      </c>
      <c r="B20" s="41">
        <f>27308.24+11585.64+10191.51+30955.38+4931.78+5564.49+99.75</f>
        <v>90636.790000000008</v>
      </c>
      <c r="C20" s="40">
        <v>279898.81</v>
      </c>
      <c r="D20" s="40">
        <v>0</v>
      </c>
      <c r="E20" s="41">
        <f>353200-143000+503661.48-100000-200000</f>
        <v>413861.48</v>
      </c>
      <c r="F20" s="134">
        <f t="shared" si="1"/>
        <v>0.21900272042713426</v>
      </c>
      <c r="G20" s="98"/>
    </row>
    <row r="21" spans="1:8" ht="24" customHeight="1" x14ac:dyDescent="0.25">
      <c r="A21" s="38" t="s">
        <v>62</v>
      </c>
      <c r="B21" s="41">
        <f>68009.98+25619.66+5489.93+75827.66+31567.6+8598.48</f>
        <v>215113.31000000003</v>
      </c>
      <c r="C21" s="40">
        <v>205287.93</v>
      </c>
      <c r="D21" s="40">
        <v>0</v>
      </c>
      <c r="E21" s="41">
        <f>397000-17700+35000</f>
        <v>414300</v>
      </c>
      <c r="F21" s="134">
        <f t="shared" si="1"/>
        <v>0.51922111996138076</v>
      </c>
      <c r="G21" s="93"/>
    </row>
    <row r="22" spans="1:8" ht="24" customHeight="1" x14ac:dyDescent="0.25">
      <c r="A22" s="38" t="s">
        <v>64</v>
      </c>
      <c r="B22" s="41">
        <f>10507.34+771.95+735.83+61695</f>
        <v>73710.12</v>
      </c>
      <c r="C22" s="40">
        <v>209348.86</v>
      </c>
      <c r="D22" s="40">
        <v>0</v>
      </c>
      <c r="E22" s="40">
        <f>57300+17700+25000+100000+30000</f>
        <v>230000</v>
      </c>
      <c r="F22" s="134">
        <f t="shared" si="1"/>
        <v>0.32047878260869561</v>
      </c>
      <c r="G22" s="96"/>
    </row>
    <row r="23" spans="1:8" ht="24" customHeight="1" x14ac:dyDescent="0.25">
      <c r="A23" s="38" t="s">
        <v>65</v>
      </c>
      <c r="B23" s="41">
        <f>40011.39+3880+80458+88455.04+125+315.9+9011.11+3888.87+34192.65</f>
        <v>260337.96</v>
      </c>
      <c r="C23" s="40">
        <f>'Prior Year'!C96+'Prior Year'!C100+'Prior Year'!C101+'Prior Year'!C103+'Prior Year'!C105+'Prior Year'!C108+'Prior Year'!C110+'Prior Year'!C111+'Prior Year'!C113+'Prior Year'!C114</f>
        <v>238177.15999999997</v>
      </c>
      <c r="D23" s="40">
        <v>0</v>
      </c>
      <c r="E23" s="41">
        <f>668258+15000</f>
        <v>683258</v>
      </c>
      <c r="F23" s="134">
        <f t="shared" si="1"/>
        <v>0.38102438610305328</v>
      </c>
      <c r="G23" s="98"/>
    </row>
    <row r="24" spans="1:8" ht="24" customHeight="1" x14ac:dyDescent="0.25">
      <c r="A24" s="38" t="s">
        <v>66</v>
      </c>
      <c r="B24" s="41">
        <f>31666.88+300+800+18660.49+7436.36+3376.79</f>
        <v>62240.520000000004</v>
      </c>
      <c r="C24" s="40">
        <v>70572.479999999996</v>
      </c>
      <c r="D24" s="40">
        <v>0</v>
      </c>
      <c r="E24" s="41">
        <f>209500-25000</f>
        <v>184500</v>
      </c>
      <c r="F24" s="134">
        <f t="shared" si="1"/>
        <v>0.33734699186991873</v>
      </c>
      <c r="G24" s="98"/>
    </row>
    <row r="25" spans="1:8" ht="24" customHeight="1" x14ac:dyDescent="0.25">
      <c r="A25" s="38" t="s">
        <v>67</v>
      </c>
      <c r="B25" s="41">
        <f>388+2012.8+900+182508.38+220.82+319+8197.11+220+14808.64+3236.18+1296+2554.54</f>
        <v>216661.47</v>
      </c>
      <c r="C25" s="40">
        <v>249039.93</v>
      </c>
      <c r="D25" s="40">
        <v>0</v>
      </c>
      <c r="E25" s="41">
        <f>461100-30000</f>
        <v>431100</v>
      </c>
      <c r="F25" s="134">
        <f t="shared" si="1"/>
        <v>0.50257821851078632</v>
      </c>
      <c r="G25" s="95"/>
    </row>
    <row r="26" spans="1:8" ht="24" customHeight="1" x14ac:dyDescent="0.25">
      <c r="A26" s="38" t="s">
        <v>68</v>
      </c>
      <c r="B26" s="41">
        <f>42033.11+64408.97+2659.61+765.47+596.27+1974.91+269.08+61.76+95.44+1140+13+1272+7.08+52.75+112+1334+12857.78+134.15+19.66+5678.74+518.17+165+1103.02+87.67+873+765+22633.22+35241.77+1432.09+330.75+175.44+1063.43+144.9+26.72+51.35+1356+45.21+32.21+7312.11+480+361.83+3853.2+641.11</f>
        <v>214178.97999999995</v>
      </c>
      <c r="C26" s="40">
        <v>217228.79999999999</v>
      </c>
      <c r="D26" s="40">
        <v>0</v>
      </c>
      <c r="E26" s="40">
        <v>451782</v>
      </c>
      <c r="F26" s="134">
        <f t="shared" si="1"/>
        <v>0.47407594813427706</v>
      </c>
      <c r="G26" s="102"/>
    </row>
    <row r="27" spans="1:8" ht="24" customHeight="1" x14ac:dyDescent="0.25">
      <c r="A27" s="38" t="s">
        <v>69</v>
      </c>
      <c r="B27" s="41">
        <f>1960+7586.16</f>
        <v>9546.16</v>
      </c>
      <c r="C27" s="40">
        <f>'Prior Year'!C118</f>
        <v>132320</v>
      </c>
      <c r="D27" s="40">
        <v>0</v>
      </c>
      <c r="E27" s="40">
        <v>264832</v>
      </c>
      <c r="F27" s="134">
        <f t="shared" si="1"/>
        <v>3.6046097148380862E-2</v>
      </c>
      <c r="G27" s="103"/>
    </row>
    <row r="28" spans="1:8" ht="24" customHeight="1" thickBot="1" x14ac:dyDescent="0.3">
      <c r="A28" s="42" t="s">
        <v>70</v>
      </c>
      <c r="B28" s="48">
        <f>SUM(B17:B27)+B12</f>
        <v>15158311.380000001</v>
      </c>
      <c r="C28" s="48">
        <f>SUM(C17:C27)+C12</f>
        <v>14565868.220000001</v>
      </c>
      <c r="D28" s="48">
        <f>SUM(D17:D27)+D12</f>
        <v>0</v>
      </c>
      <c r="E28" s="48">
        <f>SUM(E17:E27)+E12</f>
        <v>31044965</v>
      </c>
      <c r="F28" s="133">
        <f t="shared" si="1"/>
        <v>0.4882695593311186</v>
      </c>
      <c r="G28" s="100"/>
      <c r="H28" s="90"/>
    </row>
    <row r="29" spans="1:8" ht="17.25" thickTop="1" x14ac:dyDescent="0.25">
      <c r="A29" s="42"/>
      <c r="B29" s="44"/>
      <c r="C29" s="44"/>
      <c r="D29" s="44"/>
      <c r="E29" s="44"/>
      <c r="F29" s="44"/>
      <c r="G29" s="92"/>
    </row>
    <row r="30" spans="1:8" ht="16.5" x14ac:dyDescent="0.25">
      <c r="A30" s="42"/>
      <c r="B30" s="44"/>
      <c r="C30" s="44"/>
      <c r="D30" s="44"/>
      <c r="E30" s="44"/>
      <c r="F30" s="44"/>
      <c r="G30" s="91"/>
    </row>
    <row r="31" spans="1:8" ht="16.5" x14ac:dyDescent="0.25">
      <c r="A31" s="38"/>
      <c r="B31" s="40"/>
      <c r="C31" s="40"/>
      <c r="D31" s="40"/>
      <c r="E31" s="40"/>
      <c r="F31" s="41"/>
      <c r="G31" s="91"/>
    </row>
    <row r="32" spans="1:8" ht="24" customHeight="1" x14ac:dyDescent="0.25">
      <c r="A32" s="49" t="s">
        <v>71</v>
      </c>
      <c r="B32" s="50"/>
      <c r="C32" s="51"/>
      <c r="D32" s="51"/>
      <c r="E32" s="51"/>
      <c r="F32" s="52"/>
      <c r="G32" s="94"/>
    </row>
    <row r="33" spans="1:7" ht="24" customHeight="1" x14ac:dyDescent="0.25">
      <c r="A33" s="49" t="s">
        <v>72</v>
      </c>
      <c r="B33" s="53"/>
      <c r="C33" s="53"/>
      <c r="D33" s="53"/>
      <c r="E33" s="53"/>
      <c r="F33" s="53"/>
      <c r="G33" s="94"/>
    </row>
    <row r="34" spans="1:7" ht="36.75" customHeight="1" x14ac:dyDescent="0.25">
      <c r="A34" s="259" t="s">
        <v>73</v>
      </c>
      <c r="B34" s="259"/>
      <c r="C34" s="259"/>
      <c r="D34" s="259"/>
      <c r="E34" s="259"/>
      <c r="F34" s="259"/>
      <c r="G34" s="94"/>
    </row>
    <row r="35" spans="1:7" ht="24" customHeight="1" x14ac:dyDescent="0.25">
      <c r="A35" s="49" t="s">
        <v>74</v>
      </c>
      <c r="B35" s="54"/>
      <c r="C35" s="54"/>
      <c r="D35" s="54"/>
      <c r="E35" s="54"/>
      <c r="F35" s="54"/>
      <c r="G35" s="94"/>
    </row>
    <row r="36" spans="1:7" ht="24" customHeight="1" x14ac:dyDescent="0.25">
      <c r="A36" s="49" t="s">
        <v>75</v>
      </c>
      <c r="B36" s="53"/>
      <c r="C36" s="53"/>
      <c r="D36" s="53"/>
      <c r="E36" s="53"/>
      <c r="F36" s="53"/>
      <c r="G36" s="94"/>
    </row>
    <row r="37" spans="1:7" ht="16.5" x14ac:dyDescent="0.25">
      <c r="A37" s="38"/>
      <c r="B37" s="40"/>
      <c r="C37" s="40"/>
      <c r="D37" s="40"/>
      <c r="E37" s="40"/>
      <c r="F37" s="40"/>
      <c r="G37" s="91"/>
    </row>
    <row r="38" spans="1:7" ht="16.5" x14ac:dyDescent="0.25">
      <c r="A38" s="38"/>
      <c r="B38" s="40"/>
      <c r="C38" s="40"/>
      <c r="D38" s="40"/>
      <c r="E38" s="40"/>
      <c r="F38" s="40"/>
      <c r="G38" s="91"/>
    </row>
  </sheetData>
  <mergeCells count="4">
    <mergeCell ref="A1:G1"/>
    <mergeCell ref="A3:G3"/>
    <mergeCell ref="B6:C6"/>
    <mergeCell ref="A34:F34"/>
  </mergeCells>
  <pageMargins left="0.95" right="0.7" top="0.75" bottom="0.75" header="0.3" footer="0.3"/>
  <pageSetup scale="68" orientation="portrait" r:id="rId1"/>
  <headerFooter>
    <oddFooter>&amp;C&amp;F&amp;RPage  3 of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8"/>
  <sheetViews>
    <sheetView topLeftCell="A74" workbookViewId="0">
      <selection activeCell="A16" sqref="A1:XFD1048576"/>
    </sheetView>
  </sheetViews>
  <sheetFormatPr defaultColWidth="9.140625" defaultRowHeight="14.25" x14ac:dyDescent="0.2"/>
  <cols>
    <col min="1" max="1" width="46.140625" style="141" customWidth="1"/>
    <col min="2" max="2" width="16.28515625" style="178" customWidth="1"/>
    <col min="3" max="3" width="18" style="178" customWidth="1"/>
    <col min="4" max="4" width="19.85546875" style="178" bestFit="1" customWidth="1"/>
    <col min="5" max="5" width="14" style="190" customWidth="1"/>
    <col min="6" max="6" width="9.85546875" style="146" bestFit="1" customWidth="1"/>
    <col min="7" max="7" width="19.140625" style="146" customWidth="1"/>
    <col min="8" max="8" width="15.7109375" style="146" bestFit="1" customWidth="1"/>
    <col min="9" max="9" width="15.7109375" style="147" bestFit="1" customWidth="1"/>
    <col min="10" max="10" width="18.28515625" style="140" customWidth="1"/>
    <col min="11" max="11" width="15" style="140" bestFit="1" customWidth="1"/>
    <col min="12" max="12" width="18" style="140" customWidth="1"/>
    <col min="13" max="13" width="9.140625" style="140"/>
    <col min="14" max="14" width="18.5703125" style="140" customWidth="1"/>
    <col min="15" max="27" width="9.140625" style="140"/>
    <col min="28" max="16384" width="9.140625" style="141"/>
  </cols>
  <sheetData>
    <row r="1" spans="1:27" ht="17.45" customHeight="1" x14ac:dyDescent="0.25">
      <c r="A1" s="265" t="s">
        <v>76</v>
      </c>
      <c r="B1" s="265"/>
      <c r="C1" s="265"/>
      <c r="D1" s="265"/>
      <c r="E1" s="265"/>
      <c r="F1" s="265"/>
      <c r="G1" s="138"/>
      <c r="H1" s="138"/>
      <c r="I1" s="139"/>
      <c r="Z1" s="141"/>
      <c r="AA1" s="141"/>
    </row>
    <row r="2" spans="1:27" ht="17.45" customHeight="1" x14ac:dyDescent="0.25">
      <c r="A2" s="265" t="s">
        <v>77</v>
      </c>
      <c r="B2" s="265"/>
      <c r="C2" s="265"/>
      <c r="D2" s="265"/>
      <c r="E2" s="265"/>
      <c r="F2" s="265"/>
      <c r="G2" s="138"/>
      <c r="H2" s="138"/>
      <c r="I2" s="139"/>
      <c r="Y2" s="141"/>
      <c r="Z2" s="141"/>
      <c r="AA2" s="141"/>
    </row>
    <row r="3" spans="1:27" ht="17.45" customHeight="1" x14ac:dyDescent="0.25">
      <c r="A3" s="265" t="s">
        <v>148</v>
      </c>
      <c r="B3" s="265"/>
      <c r="C3" s="265"/>
      <c r="D3" s="265"/>
      <c r="E3" s="265"/>
      <c r="F3" s="265"/>
      <c r="G3" s="138"/>
      <c r="H3" s="138"/>
      <c r="I3" s="139"/>
      <c r="Y3" s="141"/>
      <c r="Z3" s="141"/>
      <c r="AA3" s="141"/>
    </row>
    <row r="4" spans="1:27" ht="17.45" customHeight="1" x14ac:dyDescent="0.25">
      <c r="A4" s="56"/>
      <c r="B4" s="56"/>
      <c r="C4" s="56"/>
      <c r="D4" s="56"/>
      <c r="E4" s="57"/>
      <c r="F4" s="142"/>
      <c r="G4" s="142"/>
      <c r="H4" s="142"/>
      <c r="I4" s="143"/>
      <c r="Y4" s="141"/>
      <c r="Z4" s="141"/>
      <c r="AA4" s="141"/>
    </row>
    <row r="5" spans="1:27" ht="17.45" customHeight="1" x14ac:dyDescent="0.25">
      <c r="A5" s="56"/>
      <c r="B5" s="56"/>
      <c r="C5" s="271" t="s">
        <v>78</v>
      </c>
      <c r="D5" s="273" t="s">
        <v>79</v>
      </c>
      <c r="E5" s="57"/>
      <c r="F5" s="144"/>
      <c r="G5" s="145"/>
      <c r="Y5" s="141"/>
      <c r="Z5" s="141"/>
      <c r="AA5" s="141"/>
    </row>
    <row r="6" spans="1:27" ht="17.45" customHeight="1" x14ac:dyDescent="0.25">
      <c r="A6" s="60" t="s">
        <v>80</v>
      </c>
      <c r="B6" s="61"/>
      <c r="C6" s="271"/>
      <c r="D6" s="273"/>
      <c r="E6" s="275" t="s">
        <v>81</v>
      </c>
      <c r="F6" s="148"/>
      <c r="G6" s="138"/>
      <c r="Y6" s="141"/>
      <c r="Z6" s="141"/>
      <c r="AA6" s="141"/>
    </row>
    <row r="7" spans="1:27" ht="17.45" customHeight="1" thickBot="1" x14ac:dyDescent="0.3">
      <c r="A7" s="56"/>
      <c r="B7" s="62"/>
      <c r="C7" s="272"/>
      <c r="D7" s="274"/>
      <c r="E7" s="276"/>
      <c r="F7" s="148"/>
      <c r="G7" s="138"/>
      <c r="Y7" s="141"/>
      <c r="Z7" s="141"/>
      <c r="AA7" s="141"/>
    </row>
    <row r="8" spans="1:27" ht="17.45" customHeight="1" x14ac:dyDescent="0.25">
      <c r="A8" s="63" t="s">
        <v>82</v>
      </c>
      <c r="B8" s="64" t="s">
        <v>83</v>
      </c>
      <c r="C8" s="65">
        <v>129161.416</v>
      </c>
      <c r="D8" s="65">
        <v>21980.263999999999</v>
      </c>
      <c r="E8" s="65">
        <f>C8+D8</f>
        <v>151141.68</v>
      </c>
      <c r="F8" s="149"/>
      <c r="G8" s="150"/>
      <c r="H8" s="151"/>
      <c r="I8" s="152"/>
      <c r="Y8" s="141"/>
      <c r="Z8" s="141"/>
      <c r="AA8" s="141"/>
    </row>
    <row r="9" spans="1:27" ht="17.45" customHeight="1" x14ac:dyDescent="0.25">
      <c r="A9" s="63" t="s">
        <v>84</v>
      </c>
      <c r="B9" s="64" t="s">
        <v>146</v>
      </c>
      <c r="C9" s="65">
        <v>51881</v>
      </c>
      <c r="D9" s="65">
        <v>7551</v>
      </c>
      <c r="E9" s="65">
        <f>C9+D9</f>
        <v>59432</v>
      </c>
      <c r="F9" s="149"/>
      <c r="G9" s="153"/>
      <c r="H9" s="154"/>
      <c r="I9" s="155"/>
      <c r="Y9" s="141"/>
      <c r="Z9" s="141"/>
      <c r="AA9" s="141"/>
    </row>
    <row r="10" spans="1:27" ht="17.45" customHeight="1" x14ac:dyDescent="0.25">
      <c r="A10" s="63"/>
      <c r="B10" s="64"/>
      <c r="C10" s="65"/>
      <c r="D10" s="65"/>
      <c r="E10" s="65"/>
      <c r="F10" s="149"/>
      <c r="H10" s="154"/>
      <c r="I10" s="155"/>
      <c r="K10"/>
      <c r="L10"/>
      <c r="Y10" s="141"/>
      <c r="Z10" s="141"/>
      <c r="AA10" s="141"/>
    </row>
    <row r="11" spans="1:27" ht="17.45" customHeight="1" x14ac:dyDescent="0.25">
      <c r="A11" s="63"/>
      <c r="B11" s="64"/>
      <c r="C11" s="65"/>
      <c r="D11" s="65"/>
      <c r="E11" s="65"/>
      <c r="F11" s="149"/>
      <c r="H11" s="154"/>
      <c r="I11" s="155"/>
      <c r="K11" s="156"/>
      <c r="L11" s="156"/>
      <c r="Y11" s="141"/>
      <c r="Z11" s="141"/>
      <c r="AA11" s="141"/>
    </row>
    <row r="12" spans="1:27" ht="17.45" customHeight="1" x14ac:dyDescent="0.25">
      <c r="A12" s="63"/>
      <c r="B12" s="64"/>
      <c r="C12" s="65"/>
      <c r="D12" s="65"/>
      <c r="E12" s="65"/>
      <c r="F12" s="149"/>
      <c r="G12" s="153"/>
      <c r="H12" s="154"/>
      <c r="I12" s="155"/>
      <c r="K12" s="66"/>
      <c r="L12" s="156"/>
      <c r="Y12" s="141"/>
      <c r="Z12" s="141"/>
      <c r="AA12" s="141"/>
    </row>
    <row r="13" spans="1:27" ht="17.45" customHeight="1" x14ac:dyDescent="0.25">
      <c r="A13" s="63"/>
      <c r="B13" s="68"/>
      <c r="C13" s="65"/>
      <c r="D13" s="65"/>
      <c r="E13" s="65"/>
      <c r="F13" s="149"/>
      <c r="G13" s="150"/>
      <c r="H13" s="154"/>
      <c r="I13" s="155"/>
      <c r="K13" s="156"/>
      <c r="L13" s="156"/>
      <c r="Y13" s="141"/>
      <c r="Z13" s="141"/>
      <c r="AA13" s="141"/>
    </row>
    <row r="14" spans="1:27" ht="17.45" customHeight="1" thickBot="1" x14ac:dyDescent="0.3">
      <c r="A14" s="63" t="s">
        <v>85</v>
      </c>
      <c r="B14" s="69"/>
      <c r="C14" s="70">
        <f>SUM(C8:C13)</f>
        <v>181042.416</v>
      </c>
      <c r="D14" s="70">
        <f>SUM(D8:D13)</f>
        <v>29531.263999999999</v>
      </c>
      <c r="E14" s="70">
        <f>SUM(E8:E13)</f>
        <v>210573.68</v>
      </c>
      <c r="F14" s="142"/>
      <c r="G14" s="142"/>
      <c r="H14" s="142"/>
      <c r="I14" s="143"/>
      <c r="J14" s="58"/>
      <c r="K14" s="156"/>
      <c r="L14" s="156"/>
      <c r="Y14" s="141"/>
      <c r="Z14" s="141"/>
      <c r="AA14" s="141"/>
    </row>
    <row r="15" spans="1:27" ht="17.45" customHeight="1" thickTop="1" x14ac:dyDescent="0.25">
      <c r="A15" s="63"/>
      <c r="B15" s="71"/>
      <c r="C15" s="58"/>
      <c r="D15" s="58"/>
      <c r="E15" s="58"/>
      <c r="F15" s="142"/>
      <c r="G15" s="142"/>
      <c r="H15" s="142"/>
      <c r="I15" s="143"/>
      <c r="K15" s="156"/>
      <c r="L15" s="156"/>
      <c r="Y15" s="141"/>
      <c r="Z15" s="141"/>
      <c r="AA15" s="141"/>
    </row>
    <row r="16" spans="1:27" ht="17.45" customHeight="1" thickBot="1" x14ac:dyDescent="0.3">
      <c r="A16" s="63" t="s">
        <v>86</v>
      </c>
      <c r="B16" s="71"/>
      <c r="C16" s="70">
        <v>120274</v>
      </c>
      <c r="D16" s="70">
        <v>21477</v>
      </c>
      <c r="E16" s="70">
        <v>141751</v>
      </c>
      <c r="F16" s="142"/>
      <c r="G16" s="142"/>
      <c r="H16" s="142"/>
      <c r="I16" s="143"/>
      <c r="K16" s="66"/>
      <c r="L16" s="66"/>
      <c r="Z16" s="141"/>
      <c r="AA16" s="141"/>
    </row>
    <row r="17" spans="1:27" ht="17.45" customHeight="1" thickTop="1" x14ac:dyDescent="0.25">
      <c r="A17" s="72" t="s">
        <v>87</v>
      </c>
      <c r="B17" s="71"/>
      <c r="C17" s="73">
        <f>+(C14-C16)/C16</f>
        <v>0.50524981292714966</v>
      </c>
      <c r="D17" s="73">
        <f>+(D14-D16)/D16</f>
        <v>0.37501811239931088</v>
      </c>
      <c r="E17" s="73">
        <f>+(E14-E16)/E16</f>
        <v>0.4855181268562479</v>
      </c>
      <c r="F17" s="157"/>
      <c r="G17" s="149"/>
      <c r="K17" s="156"/>
      <c r="L17" s="156"/>
      <c r="Z17" s="141"/>
      <c r="AA17" s="141"/>
    </row>
    <row r="18" spans="1:27" ht="17.45" customHeight="1" x14ac:dyDescent="0.25">
      <c r="A18" s="72"/>
      <c r="B18" s="71"/>
      <c r="C18" s="73"/>
      <c r="D18" s="73"/>
      <c r="E18" s="73"/>
      <c r="F18" s="157"/>
      <c r="G18" s="149"/>
      <c r="K18" s="156"/>
      <c r="L18" s="156"/>
      <c r="Z18" s="141"/>
      <c r="AA18" s="141"/>
    </row>
    <row r="19" spans="1:27" ht="113.45" customHeight="1" x14ac:dyDescent="0.25">
      <c r="A19" s="74"/>
      <c r="B19" s="56"/>
      <c r="C19" s="71"/>
      <c r="D19" s="71"/>
      <c r="E19" s="75"/>
      <c r="F19" s="142"/>
      <c r="G19" s="145"/>
      <c r="K19" s="156"/>
      <c r="L19" s="156"/>
      <c r="Y19" s="141"/>
      <c r="Z19" s="141"/>
      <c r="AA19" s="141"/>
    </row>
    <row r="20" spans="1:27" ht="24.6" customHeight="1" x14ac:dyDescent="0.25">
      <c r="A20" s="264" t="s">
        <v>76</v>
      </c>
      <c r="B20" s="264"/>
      <c r="C20" s="264"/>
      <c r="D20" s="264"/>
      <c r="E20" s="264"/>
      <c r="F20" s="264"/>
      <c r="G20" s="158"/>
      <c r="H20" s="158"/>
      <c r="I20" s="159"/>
      <c r="K20" s="156"/>
      <c r="L20" s="156"/>
      <c r="Y20" s="141"/>
      <c r="Z20" s="141"/>
      <c r="AA20" s="141"/>
    </row>
    <row r="21" spans="1:27" ht="22.9" customHeight="1" x14ac:dyDescent="0.25">
      <c r="A21" s="264"/>
      <c r="B21" s="264"/>
      <c r="C21" s="264"/>
      <c r="D21" s="264"/>
      <c r="E21" s="264"/>
      <c r="F21" s="264"/>
      <c r="G21" s="158"/>
      <c r="H21" s="158"/>
      <c r="I21" s="159"/>
      <c r="K21" s="156"/>
      <c r="L21" s="156"/>
      <c r="Z21" s="141"/>
      <c r="AA21" s="141"/>
    </row>
    <row r="22" spans="1:27" ht="17.45" customHeight="1" x14ac:dyDescent="0.25">
      <c r="A22" s="160"/>
      <c r="B22" s="160"/>
      <c r="C22" s="160"/>
      <c r="D22" s="160"/>
      <c r="E22" s="160"/>
      <c r="F22" s="161"/>
      <c r="G22" s="158"/>
      <c r="H22" s="158"/>
      <c r="I22" s="159"/>
      <c r="K22" s="156"/>
      <c r="L22" s="156"/>
      <c r="Z22" s="141"/>
      <c r="AA22" s="141"/>
    </row>
    <row r="23" spans="1:27" ht="28.9" customHeight="1" x14ac:dyDescent="0.25">
      <c r="A23" s="162" t="s">
        <v>88</v>
      </c>
      <c r="B23" s="163"/>
      <c r="C23" s="164">
        <v>22435662</v>
      </c>
      <c r="D23" s="165"/>
      <c r="E23" s="165"/>
      <c r="F23" s="166"/>
      <c r="H23" s="167"/>
      <c r="I23" s="168"/>
      <c r="K23" s="156"/>
      <c r="L23" s="156"/>
      <c r="Y23" s="141"/>
      <c r="Z23" s="141"/>
      <c r="AA23" s="141"/>
    </row>
    <row r="24" spans="1:27" ht="24.6" customHeight="1" x14ac:dyDescent="0.25">
      <c r="A24" s="162" t="s">
        <v>89</v>
      </c>
      <c r="B24" s="76"/>
      <c r="C24" s="164">
        <v>38243864.049999997</v>
      </c>
      <c r="D24" s="73"/>
      <c r="E24" s="66"/>
      <c r="F24" s="157"/>
      <c r="K24" s="156"/>
      <c r="L24" s="156"/>
      <c r="Z24" s="141"/>
      <c r="AA24" s="141"/>
    </row>
    <row r="25" spans="1:27" ht="27.6" customHeight="1" thickBot="1" x14ac:dyDescent="0.3">
      <c r="A25" s="162" t="s">
        <v>90</v>
      </c>
      <c r="B25" s="71"/>
      <c r="C25" s="77">
        <f>C23-C24</f>
        <v>-15808202.049999997</v>
      </c>
      <c r="D25" s="73"/>
      <c r="E25" s="66"/>
      <c r="F25" s="157"/>
      <c r="K25" s="156"/>
      <c r="L25" s="156"/>
      <c r="Z25" s="141"/>
      <c r="AA25" s="141"/>
    </row>
    <row r="26" spans="1:27" ht="59.45" customHeight="1" thickTop="1" x14ac:dyDescent="0.25">
      <c r="A26" s="74"/>
      <c r="B26" s="56"/>
      <c r="C26" s="71"/>
      <c r="D26" s="71"/>
      <c r="E26" s="75"/>
      <c r="F26" s="142"/>
      <c r="K26" s="156"/>
      <c r="L26" s="156"/>
      <c r="Y26" s="141"/>
      <c r="Z26" s="141"/>
      <c r="AA26" s="141"/>
    </row>
    <row r="27" spans="1:27" ht="17.45" customHeight="1" x14ac:dyDescent="0.25">
      <c r="A27" s="74"/>
      <c r="B27" s="56"/>
      <c r="C27" s="71"/>
      <c r="D27" s="71"/>
      <c r="E27" s="75"/>
      <c r="F27" s="142"/>
      <c r="K27" s="66"/>
      <c r="L27" s="66"/>
      <c r="Y27" s="141"/>
      <c r="Z27" s="141"/>
      <c r="AA27" s="141"/>
    </row>
    <row r="28" spans="1:27" ht="17.45" customHeight="1" x14ac:dyDescent="0.25">
      <c r="A28" s="263" t="s">
        <v>76</v>
      </c>
      <c r="B28" s="263"/>
      <c r="C28" s="263"/>
      <c r="D28" s="263"/>
      <c r="E28" s="263"/>
      <c r="F28" s="263"/>
      <c r="K28" s="156"/>
      <c r="L28" s="156"/>
      <c r="AA28" s="141"/>
    </row>
    <row r="29" spans="1:27" ht="17.45" customHeight="1" x14ac:dyDescent="0.25">
      <c r="A29" s="263" t="s">
        <v>91</v>
      </c>
      <c r="B29" s="263"/>
      <c r="C29" s="263"/>
      <c r="D29" s="263"/>
      <c r="E29" s="263"/>
      <c r="F29" s="263"/>
      <c r="K29" s="156"/>
      <c r="L29" s="156"/>
      <c r="AA29" s="141"/>
    </row>
    <row r="30" spans="1:27" ht="17.45" customHeight="1" x14ac:dyDescent="0.25">
      <c r="A30" s="270" t="s">
        <v>151</v>
      </c>
      <c r="B30" s="270"/>
      <c r="C30" s="270"/>
      <c r="D30" s="270"/>
      <c r="E30" s="270"/>
      <c r="F30" s="270"/>
      <c r="K30" s="156"/>
      <c r="L30" s="156"/>
      <c r="AA30" s="141"/>
    </row>
    <row r="31" spans="1:27" ht="17.45" customHeight="1" x14ac:dyDescent="0.25">
      <c r="A31" s="262" t="s">
        <v>152</v>
      </c>
      <c r="B31" s="262"/>
      <c r="C31" s="262"/>
      <c r="D31" s="262"/>
      <c r="E31" s="262"/>
      <c r="F31" s="262"/>
      <c r="G31" s="169">
        <v>0.33300000000000002</v>
      </c>
      <c r="K31" s="156"/>
      <c r="L31" s="156"/>
      <c r="AA31" s="141"/>
    </row>
    <row r="32" spans="1:27" ht="17.45" customHeight="1" x14ac:dyDescent="0.25">
      <c r="A32" s="170" t="s">
        <v>92</v>
      </c>
      <c r="B32" s="170"/>
      <c r="C32" s="170"/>
      <c r="D32" s="170"/>
      <c r="E32" s="171"/>
      <c r="K32" s="156"/>
      <c r="L32" s="156"/>
      <c r="AA32" s="141"/>
    </row>
    <row r="33" spans="1:27" ht="17.45" customHeight="1" x14ac:dyDescent="0.25">
      <c r="A33" s="264" t="s">
        <v>93</v>
      </c>
      <c r="B33" s="264"/>
      <c r="C33" s="264"/>
      <c r="D33" s="264"/>
      <c r="E33" s="264"/>
      <c r="F33" s="264"/>
      <c r="K33" s="66"/>
      <c r="L33" s="156"/>
      <c r="AA33" s="141"/>
    </row>
    <row r="34" spans="1:27" ht="17.25" customHeight="1" x14ac:dyDescent="0.2">
      <c r="A34" s="172"/>
      <c r="B34" s="173" t="s">
        <v>94</v>
      </c>
      <c r="C34" s="174" t="s">
        <v>1</v>
      </c>
      <c r="D34" s="175"/>
      <c r="E34" s="176"/>
      <c r="K34" s="177"/>
      <c r="L34" s="177"/>
      <c r="AA34" s="141"/>
    </row>
    <row r="35" spans="1:27" ht="17.45" customHeight="1" x14ac:dyDescent="0.2">
      <c r="A35" s="141" t="s">
        <v>2</v>
      </c>
      <c r="B35" s="178">
        <f>'[3]POS  EXPENSE TEMPLATE '!B9</f>
        <v>18141429.09</v>
      </c>
      <c r="C35" s="178">
        <f>'[3]POS  EXPENSE TEMPLATE '!O9</f>
        <v>82313044.519999996</v>
      </c>
      <c r="D35" s="175"/>
      <c r="E35" s="179"/>
      <c r="H35" s="180"/>
      <c r="I35" s="181"/>
      <c r="AA35" s="141"/>
    </row>
    <row r="36" spans="1:27" ht="17.45" customHeight="1" x14ac:dyDescent="0.2">
      <c r="A36" s="141" t="s">
        <v>3</v>
      </c>
      <c r="B36" s="178">
        <f>'[3]POS  EXPENSE TEMPLATE '!B10</f>
        <v>44393.57</v>
      </c>
      <c r="C36" s="178">
        <f>'[3]POS  EXPENSE TEMPLATE '!O10</f>
        <v>177908.82</v>
      </c>
      <c r="D36" s="175"/>
      <c r="E36" s="179"/>
      <c r="AA36" s="141"/>
    </row>
    <row r="37" spans="1:27" ht="17.45" customHeight="1" x14ac:dyDescent="0.2">
      <c r="A37" s="141" t="s">
        <v>4</v>
      </c>
      <c r="B37" s="178">
        <f>'[3]POS  EXPENSE TEMPLATE '!B11</f>
        <v>8813.0499999999993</v>
      </c>
      <c r="C37" s="178">
        <f>'[3]POS  EXPENSE TEMPLATE '!O11</f>
        <v>30861.62</v>
      </c>
      <c r="D37" s="175"/>
      <c r="E37" s="179"/>
      <c r="AA37" s="141"/>
    </row>
    <row r="38" spans="1:27" ht="17.45" customHeight="1" x14ac:dyDescent="0.2">
      <c r="A38" s="141" t="s">
        <v>5</v>
      </c>
      <c r="B38" s="178">
        <f>'[3]POS  EXPENSE TEMPLATE '!B12</f>
        <v>917.04000000000008</v>
      </c>
      <c r="C38" s="178">
        <f>'[3]POS  EXPENSE TEMPLATE '!O12</f>
        <v>9501.27</v>
      </c>
      <c r="D38" s="175"/>
      <c r="E38" s="179"/>
      <c r="AA38" s="141"/>
    </row>
    <row r="39" spans="1:27" ht="17.45" customHeight="1" x14ac:dyDescent="0.2">
      <c r="A39" s="141" t="s">
        <v>6</v>
      </c>
      <c r="B39" s="178">
        <f>'[3]POS  EXPENSE TEMPLATE '!B13</f>
        <v>400</v>
      </c>
      <c r="C39" s="178">
        <f>'[3]POS  EXPENSE TEMPLATE '!O13</f>
        <v>2862</v>
      </c>
      <c r="D39" s="175"/>
      <c r="E39" s="179"/>
      <c r="AA39" s="141"/>
    </row>
    <row r="40" spans="1:27" ht="17.45" customHeight="1" x14ac:dyDescent="0.2">
      <c r="A40" s="141" t="s">
        <v>7</v>
      </c>
      <c r="B40" s="178">
        <f>'[3]POS  EXPENSE TEMPLATE '!B14</f>
        <v>419296.91</v>
      </c>
      <c r="C40" s="178">
        <f>'[3]POS  EXPENSE TEMPLATE '!O14</f>
        <v>2026350.1700000002</v>
      </c>
      <c r="D40" s="175"/>
      <c r="E40" s="179"/>
      <c r="Y40" s="141"/>
      <c r="Z40" s="141"/>
      <c r="AA40" s="141"/>
    </row>
    <row r="41" spans="1:27" ht="17.45" customHeight="1" x14ac:dyDescent="0.2">
      <c r="A41" s="141" t="s">
        <v>8</v>
      </c>
      <c r="B41" s="178">
        <f>'[3]POS  EXPENSE TEMPLATE '!B15</f>
        <v>8849.44</v>
      </c>
      <c r="C41" s="178">
        <f>'[3]POS  EXPENSE TEMPLATE '!O15</f>
        <v>32933.700000000004</v>
      </c>
      <c r="D41" s="175"/>
      <c r="E41" s="179"/>
      <c r="AA41" s="141"/>
    </row>
    <row r="42" spans="1:27" ht="17.45" customHeight="1" thickBot="1" x14ac:dyDescent="0.25">
      <c r="A42" s="182" t="s">
        <v>9</v>
      </c>
      <c r="B42" s="183">
        <f>SUM(B35:B41)</f>
        <v>18624099.100000001</v>
      </c>
      <c r="C42" s="183">
        <f>SUM(C35:C41)</f>
        <v>84593462.099999994</v>
      </c>
      <c r="D42" s="175"/>
      <c r="E42" s="179"/>
      <c r="AA42" s="141"/>
    </row>
    <row r="43" spans="1:27" ht="17.45" customHeight="1" thickTop="1" x14ac:dyDescent="0.2">
      <c r="A43" s="56"/>
      <c r="B43" s="74"/>
      <c r="C43" s="56"/>
      <c r="D43" s="71"/>
      <c r="E43" s="75"/>
      <c r="F43" s="142"/>
      <c r="G43" s="145"/>
      <c r="AA43" s="141"/>
    </row>
    <row r="44" spans="1:27" ht="17.45" customHeight="1" x14ac:dyDescent="0.25">
      <c r="A44" s="267" t="s">
        <v>24</v>
      </c>
      <c r="B44" s="267"/>
      <c r="C44" s="267"/>
      <c r="D44" s="267"/>
      <c r="E44" s="267"/>
      <c r="F44" s="267"/>
      <c r="AA44" s="141"/>
    </row>
    <row r="45" spans="1:27" ht="17.45" customHeight="1" x14ac:dyDescent="0.2">
      <c r="A45" s="172"/>
      <c r="B45" s="172"/>
      <c r="C45" s="172"/>
      <c r="D45" s="172"/>
      <c r="E45" s="268" t="s">
        <v>95</v>
      </c>
      <c r="AA45" s="141"/>
    </row>
    <row r="46" spans="1:27" ht="17.45" customHeight="1" thickBot="1" x14ac:dyDescent="0.25">
      <c r="A46" s="182"/>
      <c r="B46" s="184" t="s">
        <v>94</v>
      </c>
      <c r="C46" s="185" t="s">
        <v>25</v>
      </c>
      <c r="D46" s="186" t="s">
        <v>27</v>
      </c>
      <c r="E46" s="269"/>
      <c r="AA46" s="141"/>
    </row>
    <row r="47" spans="1:27" ht="17.45" customHeight="1" x14ac:dyDescent="0.2">
      <c r="A47" s="187" t="s">
        <v>29</v>
      </c>
      <c r="B47" s="188">
        <f>'[3]POS  EXPENSE TEMPLATE '!B20</f>
        <v>4463737.1500000004</v>
      </c>
      <c r="C47" s="178">
        <f>'[3]POS  EXPENSE TEMPLATE '!O20</f>
        <v>22840662.600000001</v>
      </c>
      <c r="D47" s="189">
        <f>54022572+500000</f>
        <v>54522572</v>
      </c>
      <c r="E47" s="190">
        <f t="shared" ref="E47:E111" si="0">C47/D47</f>
        <v>0.41892122403910076</v>
      </c>
      <c r="F47" s="146">
        <v>0.41699999999999998</v>
      </c>
      <c r="G47" s="146">
        <f>D47*F47</f>
        <v>22735912.524</v>
      </c>
      <c r="H47" s="146">
        <f>ROUND(G47,0)</f>
        <v>22735913</v>
      </c>
      <c r="I47" s="147">
        <v>18156016</v>
      </c>
      <c r="AA47" s="141"/>
    </row>
    <row r="48" spans="1:27" ht="17.45" customHeight="1" x14ac:dyDescent="0.2">
      <c r="A48" s="191" t="s">
        <v>30</v>
      </c>
      <c r="B48" s="188">
        <f>'[3]POS  EXPENSE TEMPLATE '!B21</f>
        <v>0</v>
      </c>
      <c r="C48" s="178">
        <f>'[3]POS  EXPENSE TEMPLATE '!O21</f>
        <v>4200</v>
      </c>
      <c r="D48" s="189">
        <v>43230</v>
      </c>
      <c r="E48" s="190">
        <f t="shared" si="0"/>
        <v>9.7154753643303268E-2</v>
      </c>
      <c r="F48" s="146">
        <v>0.41699999999999998</v>
      </c>
      <c r="G48" s="146">
        <f t="shared" ref="G48:G70" si="1">D48*F48</f>
        <v>18026.91</v>
      </c>
      <c r="H48" s="146">
        <f t="shared" ref="H48:H67" si="2">ROUND(G48,0)</f>
        <v>18027</v>
      </c>
      <c r="I48" s="147">
        <v>14396</v>
      </c>
      <c r="AA48" s="141"/>
    </row>
    <row r="49" spans="1:27" ht="17.45" customHeight="1" x14ac:dyDescent="0.2">
      <c r="A49" s="187" t="s">
        <v>31</v>
      </c>
      <c r="B49" s="188">
        <f>'[3]POS  EXPENSE TEMPLATE '!B22</f>
        <v>93786.83</v>
      </c>
      <c r="C49" s="178">
        <f>'[3]POS  EXPENSE TEMPLATE '!O22</f>
        <v>505220.06</v>
      </c>
      <c r="D49" s="189">
        <v>1626583</v>
      </c>
      <c r="E49" s="190">
        <f t="shared" si="0"/>
        <v>0.31060207809868912</v>
      </c>
      <c r="F49" s="146">
        <v>0.41699999999999998</v>
      </c>
      <c r="G49" s="146">
        <f t="shared" si="1"/>
        <v>678285.11099999992</v>
      </c>
      <c r="H49" s="146">
        <f t="shared" si="2"/>
        <v>678285</v>
      </c>
      <c r="I49" s="147">
        <v>541652</v>
      </c>
      <c r="AA49" s="141"/>
    </row>
    <row r="50" spans="1:27" ht="17.45" customHeight="1" x14ac:dyDescent="0.2">
      <c r="A50" s="187" t="s">
        <v>32</v>
      </c>
      <c r="B50" s="188">
        <f>'[3]POS  EXPENSE TEMPLATE '!B23</f>
        <v>2792208.69</v>
      </c>
      <c r="C50" s="178">
        <f>'[3]POS  EXPENSE TEMPLATE '!O23</f>
        <v>14976276.890000001</v>
      </c>
      <c r="D50" s="189">
        <v>36920007</v>
      </c>
      <c r="E50" s="190">
        <f t="shared" si="0"/>
        <v>0.4056412256368207</v>
      </c>
      <c r="F50" s="146">
        <v>0.41699999999999998</v>
      </c>
      <c r="G50" s="146">
        <f t="shared" si="1"/>
        <v>15395642.919</v>
      </c>
      <c r="H50" s="146">
        <f t="shared" si="2"/>
        <v>15395643</v>
      </c>
      <c r="I50" s="147">
        <v>12294362</v>
      </c>
      <c r="K50" s="177"/>
      <c r="AA50" s="141"/>
    </row>
    <row r="51" spans="1:27" ht="17.45" customHeight="1" x14ac:dyDescent="0.2">
      <c r="A51" s="187" t="s">
        <v>33</v>
      </c>
      <c r="B51" s="188">
        <f>'[3]POS  EXPENSE TEMPLATE '!B24</f>
        <v>124327.08</v>
      </c>
      <c r="C51" s="178">
        <f>'[3]POS  EXPENSE TEMPLATE '!O24</f>
        <v>681828.74999999988</v>
      </c>
      <c r="D51" s="189">
        <v>1600000</v>
      </c>
      <c r="E51" s="190">
        <f t="shared" si="0"/>
        <v>0.42614296874999991</v>
      </c>
      <c r="F51" s="146">
        <v>0.41699999999999998</v>
      </c>
      <c r="G51" s="146">
        <f t="shared" si="1"/>
        <v>667200</v>
      </c>
      <c r="H51" s="146">
        <f t="shared" si="2"/>
        <v>667200</v>
      </c>
      <c r="I51" s="147">
        <v>532800</v>
      </c>
      <c r="K51" s="179"/>
      <c r="AA51" s="141"/>
    </row>
    <row r="52" spans="1:27" ht="17.45" customHeight="1" x14ac:dyDescent="0.2">
      <c r="A52" s="187" t="s">
        <v>34</v>
      </c>
      <c r="B52" s="188">
        <f>'[3]POS  EXPENSE TEMPLATE '!B25</f>
        <v>45904.74</v>
      </c>
      <c r="C52" s="178">
        <f>'[3]POS  EXPENSE TEMPLATE '!O25</f>
        <v>233171.79</v>
      </c>
      <c r="D52" s="189">
        <v>910859</v>
      </c>
      <c r="E52" s="190">
        <f t="shared" si="0"/>
        <v>0.25599109192531444</v>
      </c>
      <c r="F52" s="146">
        <v>0.41699999999999998</v>
      </c>
      <c r="G52" s="146">
        <f t="shared" si="1"/>
        <v>379828.20299999998</v>
      </c>
      <c r="H52" s="146">
        <f t="shared" si="2"/>
        <v>379828</v>
      </c>
      <c r="I52" s="147">
        <v>303316</v>
      </c>
      <c r="K52" s="192"/>
      <c r="AA52" s="141"/>
    </row>
    <row r="53" spans="1:27" ht="17.45" customHeight="1" x14ac:dyDescent="0.2">
      <c r="A53" s="187" t="s">
        <v>35</v>
      </c>
      <c r="B53" s="188">
        <f>'[3]POS  EXPENSE TEMPLATE '!B26</f>
        <v>47591.33</v>
      </c>
      <c r="C53" s="178">
        <f>'[3]POS  EXPENSE TEMPLATE '!O26</f>
        <v>212292.69</v>
      </c>
      <c r="D53" s="189">
        <v>664976</v>
      </c>
      <c r="E53" s="190">
        <f t="shared" si="0"/>
        <v>0.31924864957532301</v>
      </c>
      <c r="F53" s="146">
        <v>0.41699999999999998</v>
      </c>
      <c r="G53" s="146">
        <f t="shared" si="1"/>
        <v>277294.99199999997</v>
      </c>
      <c r="H53" s="146">
        <f t="shared" si="2"/>
        <v>277295</v>
      </c>
      <c r="I53" s="147">
        <v>221437</v>
      </c>
      <c r="K53" s="179"/>
      <c r="AA53" s="141"/>
    </row>
    <row r="54" spans="1:27" ht="17.45" customHeight="1" x14ac:dyDescent="0.2">
      <c r="A54" s="187" t="s">
        <v>36</v>
      </c>
      <c r="B54" s="188">
        <f>'[3]POS  EXPENSE TEMPLATE '!B27</f>
        <v>1737236.91</v>
      </c>
      <c r="C54" s="189">
        <f>'[3]POS  EXPENSE TEMPLATE '!O27</f>
        <v>8933921.9600000009</v>
      </c>
      <c r="D54" s="189">
        <f>19564333+1000000</f>
        <v>20564333</v>
      </c>
      <c r="E54" s="190">
        <f t="shared" si="0"/>
        <v>0.43443772088304544</v>
      </c>
      <c r="F54" s="146">
        <v>0.41699999999999998</v>
      </c>
      <c r="G54" s="146">
        <f t="shared" si="1"/>
        <v>8575326.8609999996</v>
      </c>
      <c r="H54" s="146">
        <f t="shared" si="2"/>
        <v>8575327</v>
      </c>
      <c r="I54" s="147">
        <v>6847923</v>
      </c>
      <c r="AA54" s="141"/>
    </row>
    <row r="55" spans="1:27" ht="17.45" customHeight="1" x14ac:dyDescent="0.2">
      <c r="A55" s="187" t="s">
        <v>37</v>
      </c>
      <c r="B55" s="188">
        <f>'[3]POS  EXPENSE TEMPLATE '!B28</f>
        <v>42251.49</v>
      </c>
      <c r="C55" s="178">
        <f>'[3]POS  EXPENSE TEMPLATE '!O28</f>
        <v>228546.77</v>
      </c>
      <c r="D55" s="189">
        <v>645444</v>
      </c>
      <c r="E55" s="190">
        <f t="shared" si="0"/>
        <v>0.35409233024088843</v>
      </c>
      <c r="F55" s="146">
        <v>0.41699999999999998</v>
      </c>
      <c r="G55" s="146">
        <f t="shared" si="1"/>
        <v>269150.14799999999</v>
      </c>
      <c r="H55" s="146">
        <f t="shared" si="2"/>
        <v>269150</v>
      </c>
      <c r="I55" s="147">
        <v>214933</v>
      </c>
      <c r="AA55" s="141"/>
    </row>
    <row r="56" spans="1:27" ht="17.45" customHeight="1" x14ac:dyDescent="0.2">
      <c r="A56" s="187" t="s">
        <v>38</v>
      </c>
      <c r="B56" s="188">
        <f>'[3]POS  EXPENSE TEMPLATE '!B29</f>
        <v>176642.14</v>
      </c>
      <c r="C56" s="189">
        <f>'[3]POS  EXPENSE TEMPLATE '!O29</f>
        <v>896524.98</v>
      </c>
      <c r="D56" s="189">
        <v>2482664</v>
      </c>
      <c r="E56" s="190">
        <f t="shared" si="0"/>
        <v>0.36111410162631752</v>
      </c>
      <c r="F56" s="146">
        <v>0.41699999999999998</v>
      </c>
      <c r="G56" s="146">
        <f t="shared" si="1"/>
        <v>1035270.8879999999</v>
      </c>
      <c r="H56" s="146">
        <f t="shared" si="2"/>
        <v>1035271</v>
      </c>
      <c r="I56" s="147">
        <v>826727</v>
      </c>
      <c r="AA56" s="141"/>
    </row>
    <row r="57" spans="1:27" ht="17.45" customHeight="1" x14ac:dyDescent="0.2">
      <c r="A57" s="187" t="s">
        <v>39</v>
      </c>
      <c r="B57" s="188">
        <f>'[3]POS  EXPENSE TEMPLATE '!B30</f>
        <v>1329973.54</v>
      </c>
      <c r="C57" s="189">
        <f>'[3]POS  EXPENSE TEMPLATE '!O30</f>
        <v>6858200.3399999999</v>
      </c>
      <c r="D57" s="189">
        <f>16196390+1000000</f>
        <v>17196390</v>
      </c>
      <c r="E57" s="190">
        <f t="shared" si="0"/>
        <v>0.39881628295241034</v>
      </c>
      <c r="F57" s="146">
        <v>0.41699999999999998</v>
      </c>
      <c r="G57" s="146">
        <f t="shared" si="1"/>
        <v>7170894.6299999999</v>
      </c>
      <c r="H57" s="146">
        <f t="shared" si="2"/>
        <v>7170895</v>
      </c>
      <c r="I57" s="147">
        <v>5726398</v>
      </c>
      <c r="AA57" s="141"/>
    </row>
    <row r="58" spans="1:27" ht="17.45" customHeight="1" x14ac:dyDescent="0.2">
      <c r="A58" s="187" t="s">
        <v>40</v>
      </c>
      <c r="B58" s="188">
        <f>'[3]POS  EXPENSE TEMPLATE '!B31</f>
        <v>980703.56</v>
      </c>
      <c r="C58" s="178">
        <f>'[3]POS  EXPENSE TEMPLATE '!O31</f>
        <v>5128039.49</v>
      </c>
      <c r="D58" s="189">
        <f>12749303+21913</f>
        <v>12771216</v>
      </c>
      <c r="E58" s="190">
        <f t="shared" si="0"/>
        <v>0.40153102805559004</v>
      </c>
      <c r="F58" s="146">
        <v>0.41699999999999998</v>
      </c>
      <c r="G58" s="146">
        <f t="shared" si="1"/>
        <v>5325597.0719999997</v>
      </c>
      <c r="H58" s="146">
        <f t="shared" si="2"/>
        <v>5325597</v>
      </c>
      <c r="I58" s="147">
        <v>4252815</v>
      </c>
      <c r="AA58" s="141"/>
    </row>
    <row r="59" spans="1:27" ht="17.45" customHeight="1" x14ac:dyDescent="0.2">
      <c r="A59" s="187" t="s">
        <v>41</v>
      </c>
      <c r="B59" s="188">
        <f>'[3]POS  EXPENSE TEMPLATE '!B32</f>
        <v>1460016.8299999998</v>
      </c>
      <c r="C59" s="189">
        <f>'[3]POS  EXPENSE TEMPLATE '!O32</f>
        <v>7252057.6899999995</v>
      </c>
      <c r="D59" s="189">
        <f>16849553+500000+300000</f>
        <v>17649553</v>
      </c>
      <c r="E59" s="190">
        <f t="shared" si="0"/>
        <v>0.41089186168057623</v>
      </c>
      <c r="F59" s="146">
        <v>0.41699999999999998</v>
      </c>
      <c r="G59" s="146">
        <f t="shared" si="1"/>
        <v>7359863.6009999998</v>
      </c>
      <c r="H59" s="146">
        <f t="shared" si="2"/>
        <v>7359864</v>
      </c>
      <c r="I59" s="147">
        <v>5877301</v>
      </c>
      <c r="AA59" s="141"/>
    </row>
    <row r="60" spans="1:27" ht="17.45" customHeight="1" x14ac:dyDescent="0.2">
      <c r="A60" s="187" t="s">
        <v>42</v>
      </c>
      <c r="B60" s="188">
        <f>'[3]POS  EXPENSE TEMPLATE '!B33</f>
        <v>3589.36</v>
      </c>
      <c r="C60" s="178">
        <f>'[3]POS  EXPENSE TEMPLATE '!O33</f>
        <v>19277.18</v>
      </c>
      <c r="D60" s="189">
        <v>48039</v>
      </c>
      <c r="E60" s="190">
        <f t="shared" si="0"/>
        <v>0.40128187514311292</v>
      </c>
      <c r="F60" s="146">
        <v>0.41699999999999998</v>
      </c>
      <c r="G60" s="146">
        <f t="shared" si="1"/>
        <v>20032.262999999999</v>
      </c>
      <c r="H60" s="146">
        <f t="shared" si="2"/>
        <v>20032</v>
      </c>
      <c r="I60" s="147">
        <v>15997</v>
      </c>
      <c r="AA60" s="141"/>
    </row>
    <row r="61" spans="1:27" ht="17.45" customHeight="1" x14ac:dyDescent="0.2">
      <c r="A61" s="191" t="s">
        <v>43</v>
      </c>
      <c r="B61" s="188">
        <f>'[3]POS  EXPENSE TEMPLATE '!B34</f>
        <v>37500</v>
      </c>
      <c r="C61" s="178">
        <f>'[3]POS  EXPENSE TEMPLATE '!O34</f>
        <v>191250</v>
      </c>
      <c r="D61" s="189">
        <v>500000</v>
      </c>
      <c r="E61" s="190">
        <f t="shared" si="0"/>
        <v>0.38250000000000001</v>
      </c>
      <c r="F61" s="146">
        <v>0.41699999999999998</v>
      </c>
      <c r="G61" s="146">
        <f t="shared" si="1"/>
        <v>208500</v>
      </c>
      <c r="H61" s="146">
        <f t="shared" si="2"/>
        <v>208500</v>
      </c>
      <c r="I61" s="147">
        <v>166500</v>
      </c>
      <c r="AA61" s="141"/>
    </row>
    <row r="62" spans="1:27" ht="17.45" customHeight="1" x14ac:dyDescent="0.2">
      <c r="A62" s="187" t="s">
        <v>44</v>
      </c>
      <c r="B62" s="188">
        <f>'[3]POS  EXPENSE TEMPLATE '!B35</f>
        <v>45552.75</v>
      </c>
      <c r="C62" s="189">
        <f>'[3]POS  EXPENSE TEMPLATE '!O35</f>
        <v>162409.13999999998</v>
      </c>
      <c r="D62" s="189">
        <v>372790</v>
      </c>
      <c r="E62" s="190">
        <f t="shared" si="0"/>
        <v>0.43565852088307083</v>
      </c>
      <c r="F62" s="146">
        <v>0.41699999999999998</v>
      </c>
      <c r="G62" s="146">
        <f t="shared" si="1"/>
        <v>155453.43</v>
      </c>
      <c r="H62" s="146">
        <f t="shared" si="2"/>
        <v>155453</v>
      </c>
      <c r="I62" s="147">
        <v>124139</v>
      </c>
      <c r="AA62" s="141"/>
    </row>
    <row r="63" spans="1:27" ht="17.45" customHeight="1" x14ac:dyDescent="0.2">
      <c r="A63" s="187" t="s">
        <v>45</v>
      </c>
      <c r="B63" s="188">
        <f>'[3]POS  EXPENSE TEMPLATE '!B36</f>
        <v>210271.52</v>
      </c>
      <c r="C63" s="178">
        <f>'[3]POS  EXPENSE TEMPLATE '!O36</f>
        <v>1150523.8199999998</v>
      </c>
      <c r="D63" s="189">
        <v>2846561</v>
      </c>
      <c r="E63" s="190">
        <f t="shared" si="0"/>
        <v>0.40418027929139755</v>
      </c>
      <c r="F63" s="146">
        <v>0.41699999999999998</v>
      </c>
      <c r="G63" s="146">
        <f t="shared" si="1"/>
        <v>1187015.9369999999</v>
      </c>
      <c r="H63" s="146">
        <f t="shared" si="2"/>
        <v>1187016</v>
      </c>
      <c r="I63" s="147">
        <v>947905</v>
      </c>
      <c r="AA63" s="141"/>
    </row>
    <row r="64" spans="1:27" ht="17.45" customHeight="1" x14ac:dyDescent="0.2">
      <c r="A64" s="187" t="s">
        <v>46</v>
      </c>
      <c r="B64" s="188">
        <f>'[3]POS  EXPENSE TEMPLATE '!B37</f>
        <v>1431.97</v>
      </c>
      <c r="C64" s="178">
        <f>'[3]POS  EXPENSE TEMPLATE '!O37</f>
        <v>15168.73</v>
      </c>
      <c r="D64" s="189">
        <v>77534</v>
      </c>
      <c r="E64" s="190">
        <f t="shared" si="0"/>
        <v>0.19563971934893079</v>
      </c>
      <c r="F64" s="146">
        <v>0.41699999999999998</v>
      </c>
      <c r="G64" s="146">
        <f t="shared" si="1"/>
        <v>32331.678</v>
      </c>
      <c r="H64" s="146">
        <f t="shared" si="2"/>
        <v>32332</v>
      </c>
      <c r="I64" s="147">
        <v>25819</v>
      </c>
      <c r="AA64" s="141"/>
    </row>
    <row r="65" spans="1:27" ht="17.45" customHeight="1" x14ac:dyDescent="0.2">
      <c r="A65" s="187" t="s">
        <v>47</v>
      </c>
      <c r="B65" s="188">
        <f>'[3]POS  EXPENSE TEMPLATE '!B38</f>
        <v>899859.52</v>
      </c>
      <c r="C65" s="178">
        <f>'[3]POS  EXPENSE TEMPLATE '!O38</f>
        <v>3978278.32</v>
      </c>
      <c r="D65" s="189">
        <f>7987000+400000</f>
        <v>8387000</v>
      </c>
      <c r="E65" s="190">
        <f t="shared" si="0"/>
        <v>0.47433865744604742</v>
      </c>
      <c r="F65" s="146">
        <v>0.41699999999999998</v>
      </c>
      <c r="G65" s="146">
        <f t="shared" si="1"/>
        <v>3497379</v>
      </c>
      <c r="H65" s="146">
        <f t="shared" si="2"/>
        <v>3497379</v>
      </c>
      <c r="I65" s="147">
        <v>2792871</v>
      </c>
      <c r="AA65" s="141"/>
    </row>
    <row r="66" spans="1:27" ht="17.45" customHeight="1" x14ac:dyDescent="0.2">
      <c r="A66" s="187" t="s">
        <v>48</v>
      </c>
      <c r="B66" s="188">
        <f>'[3]POS  EXPENSE TEMPLATE '!B39</f>
        <v>33919.71</v>
      </c>
      <c r="C66" s="178">
        <f>'[3]POS  EXPENSE TEMPLATE '!O39</f>
        <v>220019.35</v>
      </c>
      <c r="D66" s="189">
        <v>700000</v>
      </c>
      <c r="E66" s="190">
        <f t="shared" si="0"/>
        <v>0.31431335714285713</v>
      </c>
      <c r="F66" s="146">
        <v>0.41699999999999998</v>
      </c>
      <c r="G66" s="146">
        <f t="shared" si="1"/>
        <v>291900</v>
      </c>
      <c r="H66" s="146">
        <f t="shared" si="2"/>
        <v>291900</v>
      </c>
      <c r="I66" s="147">
        <v>233100</v>
      </c>
      <c r="AA66" s="141"/>
    </row>
    <row r="67" spans="1:27" ht="17.45" customHeight="1" x14ac:dyDescent="0.2">
      <c r="A67" s="187" t="s">
        <v>49</v>
      </c>
      <c r="B67" s="188">
        <f>'[3]POS  EXPENSE TEMPLATE '!B40</f>
        <v>550</v>
      </c>
      <c r="C67" s="178">
        <f>'[3]POS  EXPENSE TEMPLATE '!O40</f>
        <v>15599.56</v>
      </c>
      <c r="D67" s="189">
        <v>90000</v>
      </c>
      <c r="E67" s="190">
        <f>C67/D67</f>
        <v>0.17332844444444445</v>
      </c>
      <c r="F67" s="146">
        <v>0.41699999999999998</v>
      </c>
      <c r="G67" s="146">
        <f t="shared" si="1"/>
        <v>37530</v>
      </c>
      <c r="H67" s="146">
        <f t="shared" si="2"/>
        <v>37530</v>
      </c>
      <c r="I67" s="147">
        <v>29970</v>
      </c>
      <c r="J67" s="78"/>
      <c r="K67" s="79"/>
      <c r="AA67" s="141"/>
    </row>
    <row r="68" spans="1:27" ht="17.45" customHeight="1" x14ac:dyDescent="0.2">
      <c r="A68" s="187"/>
      <c r="B68" s="193">
        <f>SUM(B47:B67)</f>
        <v>14527055.120000003</v>
      </c>
      <c r="C68" s="193">
        <f>SUM(C47:C67)</f>
        <v>74503470.109999999</v>
      </c>
      <c r="D68" s="194">
        <f>SUM(D47:D67)</f>
        <v>180619751</v>
      </c>
      <c r="E68" s="195">
        <f>C68/D68</f>
        <v>0.41248794607185568</v>
      </c>
      <c r="F68" s="146">
        <v>0.41699999999999998</v>
      </c>
      <c r="G68" s="146">
        <f>D68*F68</f>
        <v>75318436.166999996</v>
      </c>
      <c r="H68" s="146">
        <f>SUM(H47:H67)</f>
        <v>75318437</v>
      </c>
      <c r="I68" s="147">
        <v>60146377</v>
      </c>
      <c r="J68" s="196"/>
      <c r="K68" s="197"/>
      <c r="AA68" s="141"/>
    </row>
    <row r="69" spans="1:27" ht="17.45" customHeight="1" x14ac:dyDescent="0.2">
      <c r="A69" s="187"/>
      <c r="F69" s="146">
        <v>0.41699999999999998</v>
      </c>
      <c r="G69" s="146">
        <f t="shared" si="1"/>
        <v>0</v>
      </c>
      <c r="J69" s="197"/>
      <c r="K69" s="197"/>
      <c r="AA69" s="141"/>
    </row>
    <row r="70" spans="1:27" ht="17.45" customHeight="1" x14ac:dyDescent="0.2">
      <c r="A70" s="187" t="s">
        <v>50</v>
      </c>
      <c r="B70" s="178">
        <f>'[3]POS  EXPENSE TEMPLATE '!B57</f>
        <v>0</v>
      </c>
      <c r="C70" s="178">
        <f>'[3]POS  EXPENSE TEMPLATE '!O57</f>
        <v>15715.44</v>
      </c>
      <c r="D70" s="178">
        <v>422500</v>
      </c>
      <c r="E70" s="190">
        <f t="shared" si="0"/>
        <v>3.7196307692307695E-2</v>
      </c>
      <c r="F70" s="146">
        <v>0.41699999999999998</v>
      </c>
      <c r="G70" s="146">
        <f t="shared" si="1"/>
        <v>176182.5</v>
      </c>
      <c r="H70" s="146">
        <f t="shared" ref="H70" si="3">ROUND(G70,0)</f>
        <v>176183</v>
      </c>
      <c r="I70" s="147">
        <v>140693</v>
      </c>
      <c r="J70" s="79"/>
      <c r="K70" s="177"/>
      <c r="AA70" s="141"/>
    </row>
    <row r="71" spans="1:27" ht="17.45" customHeight="1" thickBot="1" x14ac:dyDescent="0.25">
      <c r="A71" s="187" t="s">
        <v>51</v>
      </c>
      <c r="B71" s="183">
        <f>B68+B70</f>
        <v>14527055.120000003</v>
      </c>
      <c r="C71" s="183">
        <f t="shared" ref="C71" si="4">C68+C70</f>
        <v>74519185.549999997</v>
      </c>
      <c r="D71" s="183">
        <f>D68+D70</f>
        <v>181042251</v>
      </c>
      <c r="E71" s="198">
        <f>C71/D71</f>
        <v>0.41161212445375528</v>
      </c>
      <c r="F71" s="146">
        <v>0.41699999999999998</v>
      </c>
      <c r="G71" s="146">
        <f>G70+G68</f>
        <v>75494618.666999996</v>
      </c>
      <c r="H71" s="146">
        <f>SUM(H68:H70)</f>
        <v>75494620</v>
      </c>
      <c r="I71" s="147">
        <v>60287070</v>
      </c>
      <c r="J71" s="79"/>
      <c r="K71" s="81"/>
      <c r="AA71" s="141"/>
    </row>
    <row r="72" spans="1:27" ht="17.45" customHeight="1" thickTop="1" x14ac:dyDescent="0.2">
      <c r="A72" s="187"/>
      <c r="E72" s="179"/>
      <c r="F72" s="146">
        <v>0.41699999999999998</v>
      </c>
      <c r="G72" s="146">
        <f t="shared" ref="G72" si="5">D72*0.25</f>
        <v>0</v>
      </c>
      <c r="H72" s="149"/>
      <c r="I72" s="199"/>
      <c r="J72" s="79"/>
      <c r="K72" s="177"/>
    </row>
    <row r="73" spans="1:27" ht="17.45" customHeight="1" thickBot="1" x14ac:dyDescent="0.25">
      <c r="A73" s="187" t="s">
        <v>96</v>
      </c>
      <c r="B73" s="183">
        <v>15824762.970000001</v>
      </c>
      <c r="C73" s="183">
        <v>41956877.979999989</v>
      </c>
      <c r="D73" s="183">
        <v>167256169.99999997</v>
      </c>
      <c r="E73" s="198">
        <v>0.25085399229218269</v>
      </c>
      <c r="F73" s="146">
        <v>0.41699999999999998</v>
      </c>
      <c r="H73" s="149"/>
      <c r="I73" s="199"/>
      <c r="J73" s="79"/>
      <c r="K73" s="79"/>
      <c r="AA73" s="141"/>
    </row>
    <row r="74" spans="1:27" ht="17.45" customHeight="1" thickTop="1" x14ac:dyDescent="0.25">
      <c r="A74" s="187" t="s">
        <v>97</v>
      </c>
      <c r="B74" s="190">
        <f>(B71-B73)/B73</f>
        <v>-8.2004883893688915E-2</v>
      </c>
      <c r="C74" s="190">
        <f t="shared" ref="C74:D74" si="6">(C71-C73)/C73</f>
        <v>0.77608986029708438</v>
      </c>
      <c r="D74" s="190">
        <f t="shared" si="6"/>
        <v>8.242494731285567E-2</v>
      </c>
      <c r="E74" s="179">
        <f>E71-E73</f>
        <v>0.16075813216157259</v>
      </c>
      <c r="H74" s="154"/>
      <c r="I74" s="155"/>
      <c r="J74" s="80"/>
      <c r="AA74" s="141"/>
    </row>
    <row r="75" spans="1:27" s="178" customFormat="1" ht="17.45" customHeight="1" x14ac:dyDescent="0.25">
      <c r="A75" s="60"/>
      <c r="B75" s="56"/>
      <c r="C75" s="56"/>
      <c r="D75" s="56"/>
      <c r="E75" s="82"/>
      <c r="F75" s="146"/>
      <c r="G75" s="146"/>
      <c r="H75" s="154"/>
      <c r="I75" s="155"/>
      <c r="J75" s="177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</row>
    <row r="76" spans="1:27" ht="17.45" customHeight="1" x14ac:dyDescent="0.2">
      <c r="A76" s="263" t="s">
        <v>76</v>
      </c>
      <c r="B76" s="263"/>
      <c r="C76" s="263"/>
      <c r="D76" s="263"/>
      <c r="E76" s="263"/>
      <c r="F76" s="263"/>
      <c r="J76" s="179"/>
      <c r="AA76" s="141"/>
    </row>
    <row r="77" spans="1:27" ht="17.45" customHeight="1" x14ac:dyDescent="0.2">
      <c r="A77" s="263" t="s">
        <v>91</v>
      </c>
      <c r="B77" s="263"/>
      <c r="C77" s="263"/>
      <c r="D77" s="263"/>
      <c r="E77" s="263"/>
      <c r="F77" s="263"/>
      <c r="AA77" s="141"/>
    </row>
    <row r="78" spans="1:27" ht="17.45" customHeight="1" x14ac:dyDescent="0.2">
      <c r="A78" s="270" t="str">
        <f>A30</f>
        <v>November 2017</v>
      </c>
      <c r="B78" s="270"/>
      <c r="C78" s="270"/>
      <c r="D78" s="270"/>
      <c r="E78" s="270"/>
      <c r="F78" s="270"/>
      <c r="AA78" s="141"/>
    </row>
    <row r="79" spans="1:27" ht="17.45" customHeight="1" x14ac:dyDescent="0.2">
      <c r="A79" s="262" t="str">
        <f>A31</f>
        <v>41.7% of Fiscal Year Completed</v>
      </c>
      <c r="B79" s="262"/>
      <c r="C79" s="262"/>
      <c r="D79" s="262"/>
      <c r="E79" s="262"/>
      <c r="F79" s="262"/>
      <c r="AA79" s="141"/>
    </row>
    <row r="80" spans="1:27" s="178" customFormat="1" ht="17.45" customHeight="1" x14ac:dyDescent="0.2">
      <c r="A80" s="56"/>
      <c r="B80" s="56"/>
      <c r="C80" s="56"/>
      <c r="D80" s="56"/>
      <c r="E80" s="82"/>
      <c r="F80" s="200"/>
      <c r="G80" s="146"/>
      <c r="H80" s="146"/>
      <c r="I80" s="147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</row>
    <row r="81" spans="1:27" ht="17.45" customHeight="1" x14ac:dyDescent="0.25">
      <c r="A81" s="264" t="s">
        <v>52</v>
      </c>
      <c r="B81" s="264"/>
      <c r="C81" s="264"/>
      <c r="D81" s="264"/>
      <c r="E81" s="264"/>
      <c r="F81" s="264"/>
      <c r="AA81" s="141"/>
    </row>
    <row r="82" spans="1:27" ht="17.45" customHeight="1" x14ac:dyDescent="0.25">
      <c r="A82" s="160"/>
      <c r="B82" s="266"/>
      <c r="C82" s="266"/>
      <c r="D82" s="172"/>
      <c r="E82" s="141"/>
      <c r="AA82" s="141"/>
    </row>
    <row r="83" spans="1:27" ht="28.9" customHeight="1" thickBot="1" x14ac:dyDescent="0.25">
      <c r="A83" s="182"/>
      <c r="B83" s="184" t="s">
        <v>94</v>
      </c>
      <c r="C83" s="185" t="s">
        <v>25</v>
      </c>
      <c r="D83" s="186" t="s">
        <v>27</v>
      </c>
      <c r="E83" s="201" t="s">
        <v>95</v>
      </c>
      <c r="AA83" s="141"/>
    </row>
    <row r="84" spans="1:27" ht="17.45" customHeight="1" x14ac:dyDescent="0.2">
      <c r="A84" s="187" t="s">
        <v>53</v>
      </c>
      <c r="B84" s="178">
        <f>'[3]OP Expense Template by Dep '!G4</f>
        <v>1379273.9</v>
      </c>
      <c r="C84" s="178">
        <f>'[3]OP Expense Template by Dep '!T4</f>
        <v>6281538.5099999998</v>
      </c>
      <c r="D84" s="202">
        <v>15500000</v>
      </c>
      <c r="E84" s="190">
        <f t="shared" si="0"/>
        <v>0.40526054903225806</v>
      </c>
      <c r="F84" s="146">
        <v>0.41699999999999998</v>
      </c>
      <c r="G84" s="146">
        <f>D84*F84</f>
        <v>6463500</v>
      </c>
      <c r="H84" s="146">
        <f>ROUND(G84,0)</f>
        <v>6463500</v>
      </c>
      <c r="I84" s="147">
        <v>5161500</v>
      </c>
      <c r="AA84" s="141"/>
    </row>
    <row r="85" spans="1:27" ht="17.45" customHeight="1" x14ac:dyDescent="0.2">
      <c r="A85" s="187" t="s">
        <v>54</v>
      </c>
      <c r="B85" s="178">
        <f>'[3]OP Expense Template by Dep '!G5</f>
        <v>0</v>
      </c>
      <c r="C85" s="178">
        <f>'[3]OP Expense Template by Dep '!T5</f>
        <v>0</v>
      </c>
      <c r="D85" s="202">
        <v>6000</v>
      </c>
      <c r="E85" s="190">
        <f t="shared" si="0"/>
        <v>0</v>
      </c>
      <c r="F85" s="146">
        <v>0.41699999999999998</v>
      </c>
      <c r="G85" s="146">
        <f t="shared" ref="G85:G87" si="7">D85*F85</f>
        <v>2502</v>
      </c>
      <c r="H85" s="146">
        <f t="shared" ref="H85:H87" si="8">ROUND(G85,0)</f>
        <v>2502</v>
      </c>
      <c r="I85" s="147">
        <v>1998</v>
      </c>
      <c r="AA85" s="141"/>
    </row>
    <row r="86" spans="1:27" ht="17.45" customHeight="1" x14ac:dyDescent="0.2">
      <c r="A86" s="187" t="s">
        <v>55</v>
      </c>
      <c r="B86" s="178">
        <f>'[3]OP Expense Template by Dep '!G6</f>
        <v>482018.3899999999</v>
      </c>
      <c r="C86" s="178">
        <f>'[3]OP Expense Template by Dep '!T6</f>
        <v>2221116.3899999997</v>
      </c>
      <c r="D86" s="202">
        <v>7500000</v>
      </c>
      <c r="E86" s="190">
        <f t="shared" si="0"/>
        <v>0.29614885199999996</v>
      </c>
      <c r="F86" s="146">
        <v>0.41699999999999998</v>
      </c>
      <c r="G86" s="146">
        <f t="shared" si="7"/>
        <v>3127500</v>
      </c>
      <c r="H86" s="146">
        <f t="shared" si="8"/>
        <v>3127500</v>
      </c>
      <c r="I86" s="147">
        <v>2497500</v>
      </c>
      <c r="AA86" s="141"/>
    </row>
    <row r="87" spans="1:27" ht="17.45" customHeight="1" x14ac:dyDescent="0.2">
      <c r="A87" s="187" t="s">
        <v>56</v>
      </c>
      <c r="B87" s="178">
        <f>'[3]OP Expense Template by Dep '!G7</f>
        <v>2750</v>
      </c>
      <c r="C87" s="178">
        <f>'[3]OP Expense Template by Dep '!T7</f>
        <v>28131.57</v>
      </c>
      <c r="D87" s="202">
        <v>130000</v>
      </c>
      <c r="E87" s="190">
        <f t="shared" si="0"/>
        <v>0.21639669230769232</v>
      </c>
      <c r="F87" s="146">
        <v>0.41699999999999998</v>
      </c>
      <c r="G87" s="146">
        <f t="shared" si="7"/>
        <v>54210</v>
      </c>
      <c r="H87" s="146">
        <f t="shared" si="8"/>
        <v>54210</v>
      </c>
      <c r="I87" s="147">
        <v>43290</v>
      </c>
      <c r="AA87" s="141"/>
    </row>
    <row r="88" spans="1:27" ht="17.45" customHeight="1" thickBot="1" x14ac:dyDescent="0.25">
      <c r="A88" s="187"/>
      <c r="B88" s="183">
        <f>SUM(B83:B87)</f>
        <v>1864042.2899999998</v>
      </c>
      <c r="C88" s="183">
        <f>SUM(C83:C87)</f>
        <v>8530786.4699999988</v>
      </c>
      <c r="D88" s="183">
        <f>SUM(D84:D87)</f>
        <v>23136000</v>
      </c>
      <c r="E88" s="198">
        <f>C88/D88</f>
        <v>0.36872348158713686</v>
      </c>
      <c r="F88" s="146">
        <v>0.41699999999999998</v>
      </c>
      <c r="G88" s="146">
        <f>SUM(G84:G87)</f>
        <v>9647712</v>
      </c>
      <c r="H88" s="146">
        <f>SUM(H84:H87)</f>
        <v>9647712</v>
      </c>
      <c r="I88" s="147">
        <v>7704288</v>
      </c>
      <c r="AA88" s="141"/>
    </row>
    <row r="89" spans="1:27" ht="17.45" customHeight="1" thickTop="1" x14ac:dyDescent="0.3">
      <c r="A89" s="187"/>
      <c r="D89" s="29"/>
      <c r="F89" s="146">
        <v>0.41699999999999998</v>
      </c>
      <c r="AA89" s="141"/>
    </row>
    <row r="90" spans="1:27" ht="17.45" customHeight="1" x14ac:dyDescent="0.2">
      <c r="A90" s="187" t="s">
        <v>98</v>
      </c>
      <c r="B90" s="178">
        <f>'[3]OP Expense Template by Dep '!G8</f>
        <v>41610.54</v>
      </c>
      <c r="C90" s="178">
        <f>'[3]OP Expense Template by Dep '!T8</f>
        <v>53319.98</v>
      </c>
      <c r="D90" s="189">
        <f>40000+90000</f>
        <v>130000</v>
      </c>
      <c r="E90" s="190">
        <f>C90/D90</f>
        <v>0.41015369230769233</v>
      </c>
      <c r="F90" s="146">
        <v>0.41699999999999998</v>
      </c>
      <c r="G90" s="146">
        <f t="shared" ref="G90:G114" si="9">D90*F90</f>
        <v>54210</v>
      </c>
      <c r="H90" s="146">
        <f t="shared" ref="H90:H114" si="10">ROUND(G90,0)</f>
        <v>54210</v>
      </c>
      <c r="I90" s="147">
        <v>13320</v>
      </c>
      <c r="AA90" s="141"/>
    </row>
    <row r="91" spans="1:27" ht="17.45" customHeight="1" x14ac:dyDescent="0.2">
      <c r="A91" s="187" t="s">
        <v>58</v>
      </c>
      <c r="B91" s="178">
        <f>'[3]OP Expense Template by Dep '!G9</f>
        <v>146847.85999999999</v>
      </c>
      <c r="C91" s="178">
        <f>'[3]OP Expense Template by Dep '!T9</f>
        <v>683302.2</v>
      </c>
      <c r="D91" s="189">
        <v>1700000</v>
      </c>
      <c r="E91" s="190">
        <f t="shared" si="0"/>
        <v>0.40194247058823529</v>
      </c>
      <c r="F91" s="146">
        <v>0.41699999999999998</v>
      </c>
      <c r="G91" s="146">
        <f t="shared" si="9"/>
        <v>708900</v>
      </c>
      <c r="H91" s="146">
        <f t="shared" si="10"/>
        <v>708900</v>
      </c>
      <c r="I91" s="147">
        <v>566100</v>
      </c>
      <c r="AA91" s="141"/>
    </row>
    <row r="92" spans="1:27" ht="17.45" customHeight="1" x14ac:dyDescent="0.2">
      <c r="A92" s="187" t="s">
        <v>59</v>
      </c>
      <c r="B92" s="178">
        <f>'[3]OP Expense Template by Dep '!G10</f>
        <v>51853.38</v>
      </c>
      <c r="C92" s="178">
        <f>'[3]OP Expense Template by Dep '!T10</f>
        <v>258031.23000000004</v>
      </c>
      <c r="D92" s="189">
        <v>700000</v>
      </c>
      <c r="E92" s="190">
        <f t="shared" si="0"/>
        <v>0.36861604285714289</v>
      </c>
      <c r="F92" s="146">
        <v>0.41699999999999998</v>
      </c>
      <c r="G92" s="146">
        <f t="shared" si="9"/>
        <v>291900</v>
      </c>
      <c r="H92" s="146">
        <f t="shared" si="10"/>
        <v>291900</v>
      </c>
      <c r="I92" s="147">
        <v>233100</v>
      </c>
      <c r="AA92" s="141"/>
    </row>
    <row r="93" spans="1:27" ht="17.45" customHeight="1" x14ac:dyDescent="0.2">
      <c r="A93" s="187" t="s">
        <v>99</v>
      </c>
      <c r="B93" s="178">
        <f>'[3]OP Expense Template by Dep '!G11</f>
        <v>17282.95</v>
      </c>
      <c r="C93" s="178">
        <f>'[3]OP Expense Template by Dep '!T11</f>
        <v>69200.95</v>
      </c>
      <c r="D93" s="189">
        <v>186000</v>
      </c>
      <c r="E93" s="190">
        <f t="shared" si="0"/>
        <v>0.37204811827956985</v>
      </c>
      <c r="F93" s="146">
        <v>0.41699999999999998</v>
      </c>
      <c r="G93" s="146">
        <f t="shared" si="9"/>
        <v>77562</v>
      </c>
      <c r="H93" s="146">
        <f t="shared" si="10"/>
        <v>77562</v>
      </c>
      <c r="I93" s="147">
        <v>61938</v>
      </c>
      <c r="AA93" s="141"/>
    </row>
    <row r="94" spans="1:27" ht="17.45" customHeight="1" x14ac:dyDescent="0.2">
      <c r="A94" s="187" t="s">
        <v>100</v>
      </c>
      <c r="B94" s="178">
        <f>'[3]OP Expense Template by Dep '!G12</f>
        <v>7857.05</v>
      </c>
      <c r="C94" s="178">
        <f>'[3]OP Expense Template by Dep '!T12</f>
        <v>46826.16</v>
      </c>
      <c r="D94" s="189">
        <v>140000</v>
      </c>
      <c r="E94" s="190">
        <f t="shared" si="0"/>
        <v>0.33447257142857145</v>
      </c>
      <c r="F94" s="146">
        <v>0.41699999999999998</v>
      </c>
      <c r="G94" s="146">
        <f t="shared" si="9"/>
        <v>58380</v>
      </c>
      <c r="H94" s="146">
        <f t="shared" si="10"/>
        <v>58380</v>
      </c>
      <c r="I94" s="147">
        <v>46620</v>
      </c>
      <c r="AA94" s="141"/>
    </row>
    <row r="95" spans="1:27" ht="17.45" customHeight="1" x14ac:dyDescent="0.2">
      <c r="A95" s="187" t="s">
        <v>61</v>
      </c>
      <c r="B95" s="178">
        <f>'[3]OP Expense Template by Dep '!G13</f>
        <v>61853.26</v>
      </c>
      <c r="C95" s="178">
        <f>'[3]OP Expense Template by Dep '!T13</f>
        <v>208785.12</v>
      </c>
      <c r="D95" s="189">
        <v>460000</v>
      </c>
      <c r="E95" s="190">
        <f t="shared" si="0"/>
        <v>0.45388069565217393</v>
      </c>
      <c r="F95" s="146">
        <v>0.41699999999999998</v>
      </c>
      <c r="G95" s="146">
        <f t="shared" si="9"/>
        <v>191820</v>
      </c>
      <c r="H95" s="146">
        <f t="shared" si="10"/>
        <v>191820</v>
      </c>
      <c r="I95" s="147">
        <v>153180</v>
      </c>
      <c r="AA95" s="141"/>
    </row>
    <row r="96" spans="1:27" ht="17.45" customHeight="1" x14ac:dyDescent="0.2">
      <c r="A96" s="187" t="s">
        <v>101</v>
      </c>
      <c r="B96" s="178">
        <f>'[3]OP Expense Template by Dep '!G14</f>
        <v>6932.58</v>
      </c>
      <c r="C96" s="178">
        <f>'[3]OP Expense Template by Dep '!T14</f>
        <v>33341.9</v>
      </c>
      <c r="D96" s="189">
        <v>100000</v>
      </c>
      <c r="E96" s="190">
        <f t="shared" si="0"/>
        <v>0.33341900000000002</v>
      </c>
      <c r="F96" s="146">
        <v>0.41699999999999998</v>
      </c>
      <c r="G96" s="146">
        <f t="shared" si="9"/>
        <v>41700</v>
      </c>
      <c r="H96" s="146">
        <f t="shared" si="10"/>
        <v>41700</v>
      </c>
      <c r="I96" s="147">
        <v>33300</v>
      </c>
      <c r="AA96" s="141"/>
    </row>
    <row r="97" spans="1:27" ht="17.45" customHeight="1" x14ac:dyDescent="0.2">
      <c r="A97" s="187" t="s">
        <v>102</v>
      </c>
      <c r="B97" s="178">
        <f>'[3]OP Expense Template by Dep '!G15</f>
        <v>2340.14</v>
      </c>
      <c r="C97" s="178">
        <f>'[3]OP Expense Template by Dep '!T15</f>
        <v>8296.35</v>
      </c>
      <c r="D97" s="189">
        <v>20000</v>
      </c>
      <c r="E97" s="190">
        <f t="shared" si="0"/>
        <v>0.41481750000000001</v>
      </c>
      <c r="F97" s="146">
        <v>0.41699999999999998</v>
      </c>
      <c r="G97" s="146">
        <f t="shared" si="9"/>
        <v>8340</v>
      </c>
      <c r="H97" s="146">
        <f t="shared" si="10"/>
        <v>8340</v>
      </c>
      <c r="I97" s="147">
        <v>6660</v>
      </c>
      <c r="AA97" s="141"/>
    </row>
    <row r="98" spans="1:27" ht="17.45" customHeight="1" x14ac:dyDescent="0.2">
      <c r="A98" s="187" t="s">
        <v>103</v>
      </c>
      <c r="B98" s="178">
        <f>'[3]OP Expense Template by Dep '!G16</f>
        <v>13746.02</v>
      </c>
      <c r="C98" s="178">
        <f>'[3]OP Expense Template by Dep '!T16</f>
        <v>89841.77</v>
      </c>
      <c r="D98" s="189">
        <v>175000</v>
      </c>
      <c r="E98" s="190">
        <f t="shared" si="0"/>
        <v>0.51338154285714288</v>
      </c>
      <c r="F98" s="146">
        <v>0.41699999999999998</v>
      </c>
      <c r="G98" s="146">
        <f t="shared" si="9"/>
        <v>72975</v>
      </c>
      <c r="H98" s="146">
        <f t="shared" si="10"/>
        <v>72975</v>
      </c>
      <c r="I98" s="147">
        <v>58275</v>
      </c>
      <c r="AA98" s="141"/>
    </row>
    <row r="99" spans="1:27" ht="17.45" customHeight="1" x14ac:dyDescent="0.2">
      <c r="A99" s="187" t="s">
        <v>60</v>
      </c>
      <c r="B99" s="178">
        <f>'[3]OP Expense Template by Dep '!G17</f>
        <v>64533.77</v>
      </c>
      <c r="C99" s="178">
        <f>'[3]OP Expense Template by Dep '!T17</f>
        <v>402485.62000000005</v>
      </c>
      <c r="D99" s="189">
        <f>600000+50000+50000</f>
        <v>700000</v>
      </c>
      <c r="E99" s="190">
        <f t="shared" si="0"/>
        <v>0.57497945714285725</v>
      </c>
      <c r="F99" s="146">
        <v>0.41699999999999998</v>
      </c>
      <c r="G99" s="146">
        <f t="shared" si="9"/>
        <v>291900</v>
      </c>
      <c r="H99" s="146">
        <f t="shared" si="10"/>
        <v>291900</v>
      </c>
      <c r="I99" s="147">
        <v>199800</v>
      </c>
      <c r="AA99" s="141"/>
    </row>
    <row r="100" spans="1:27" ht="17.45" customHeight="1" x14ac:dyDescent="0.2">
      <c r="A100" s="187" t="s">
        <v>104</v>
      </c>
      <c r="B100" s="178">
        <f>'[3]OP Expense Template by Dep '!G18</f>
        <v>8895.24</v>
      </c>
      <c r="C100" s="178">
        <f>'[3]OP Expense Template by Dep '!T18</f>
        <v>18382.75</v>
      </c>
      <c r="D100" s="189">
        <v>57375</v>
      </c>
      <c r="E100" s="190">
        <f t="shared" si="0"/>
        <v>0.32039651416122006</v>
      </c>
      <c r="F100" s="146">
        <v>0.41699999999999998</v>
      </c>
      <c r="G100" s="146">
        <f t="shared" si="9"/>
        <v>23925.375</v>
      </c>
      <c r="H100" s="146">
        <f t="shared" si="10"/>
        <v>23925</v>
      </c>
      <c r="I100" s="147">
        <v>19106</v>
      </c>
      <c r="AA100" s="141"/>
    </row>
    <row r="101" spans="1:27" ht="17.45" customHeight="1" x14ac:dyDescent="0.2">
      <c r="A101" s="187" t="s">
        <v>105</v>
      </c>
      <c r="B101" s="178">
        <f>'[3]OP Expense Template by Dep '!G19</f>
        <v>0</v>
      </c>
      <c r="C101" s="178">
        <f>'[3]OP Expense Template by Dep '!T19</f>
        <v>2712.5</v>
      </c>
      <c r="D101" s="189">
        <v>50000</v>
      </c>
      <c r="E101" s="190">
        <f t="shared" si="0"/>
        <v>5.425E-2</v>
      </c>
      <c r="F101" s="146">
        <v>0.41699999999999998</v>
      </c>
      <c r="G101" s="146">
        <f t="shared" si="9"/>
        <v>20850</v>
      </c>
      <c r="H101" s="146">
        <f t="shared" si="10"/>
        <v>20850</v>
      </c>
      <c r="I101" s="147">
        <v>16650</v>
      </c>
      <c r="AA101" s="141"/>
    </row>
    <row r="102" spans="1:27" ht="17.45" customHeight="1" x14ac:dyDescent="0.2">
      <c r="A102" s="187" t="s">
        <v>106</v>
      </c>
      <c r="B102" s="178">
        <f>'[3]OP Expense Template by Dep '!G20</f>
        <v>806.99</v>
      </c>
      <c r="C102" s="178">
        <f>'[3]OP Expense Template by Dep '!T20</f>
        <v>7494.53</v>
      </c>
      <c r="D102" s="189">
        <v>25000</v>
      </c>
      <c r="E102" s="190">
        <f t="shared" si="0"/>
        <v>0.29978119999999997</v>
      </c>
      <c r="F102" s="146">
        <v>0.41699999999999998</v>
      </c>
      <c r="G102" s="146">
        <f t="shared" si="9"/>
        <v>10425</v>
      </c>
      <c r="H102" s="146">
        <f t="shared" si="10"/>
        <v>10425</v>
      </c>
      <c r="I102" s="147">
        <v>8325</v>
      </c>
      <c r="AA102" s="141"/>
    </row>
    <row r="103" spans="1:27" ht="17.45" customHeight="1" x14ac:dyDescent="0.2">
      <c r="A103" s="187" t="s">
        <v>107</v>
      </c>
      <c r="B103" s="178">
        <f>'[3]OP Expense Template by Dep '!G21</f>
        <v>0</v>
      </c>
      <c r="C103" s="178">
        <f>'[3]OP Expense Template by Dep '!T21</f>
        <v>0</v>
      </c>
      <c r="D103" s="189">
        <v>60000</v>
      </c>
      <c r="E103" s="190">
        <f t="shared" si="0"/>
        <v>0</v>
      </c>
      <c r="F103" s="146">
        <v>0.41699999999999998</v>
      </c>
      <c r="G103" s="146">
        <f t="shared" si="9"/>
        <v>25020</v>
      </c>
      <c r="H103" s="146">
        <f t="shared" si="10"/>
        <v>25020</v>
      </c>
      <c r="I103" s="147">
        <v>19980</v>
      </c>
      <c r="AA103" s="141"/>
    </row>
    <row r="104" spans="1:27" ht="17.45" customHeight="1" x14ac:dyDescent="0.2">
      <c r="A104" s="187" t="s">
        <v>108</v>
      </c>
      <c r="B104" s="178">
        <f>'[3]OP Expense Template by Dep '!G22</f>
        <v>35628.5</v>
      </c>
      <c r="C104" s="178">
        <f>'[3]OP Expense Template by Dep '!T22</f>
        <v>148639.70000000001</v>
      </c>
      <c r="D104" s="189">
        <f>690000-190000</f>
        <v>500000</v>
      </c>
      <c r="E104" s="190">
        <f t="shared" si="0"/>
        <v>0.29727940000000003</v>
      </c>
      <c r="F104" s="146">
        <v>0.41699999999999998</v>
      </c>
      <c r="G104" s="146">
        <f t="shared" si="9"/>
        <v>208500</v>
      </c>
      <c r="H104" s="146">
        <f t="shared" si="10"/>
        <v>208500</v>
      </c>
      <c r="I104" s="147">
        <v>229770</v>
      </c>
      <c r="AA104" s="141"/>
    </row>
    <row r="105" spans="1:27" ht="17.45" customHeight="1" x14ac:dyDescent="0.2">
      <c r="A105" s="187" t="s">
        <v>109</v>
      </c>
      <c r="B105" s="178">
        <f>'[3]OP Expense Template by Dep '!G23</f>
        <v>9394.66</v>
      </c>
      <c r="C105" s="178">
        <f>'[3]OP Expense Template by Dep '!T23</f>
        <v>86839.84</v>
      </c>
      <c r="D105" s="189">
        <v>300000</v>
      </c>
      <c r="E105" s="190">
        <f t="shared" si="0"/>
        <v>0.28946613333333332</v>
      </c>
      <c r="F105" s="146">
        <v>0.41699999999999998</v>
      </c>
      <c r="G105" s="146">
        <f t="shared" si="9"/>
        <v>125100</v>
      </c>
      <c r="H105" s="146">
        <f t="shared" si="10"/>
        <v>125100</v>
      </c>
      <c r="I105" s="147">
        <v>99900</v>
      </c>
      <c r="AA105" s="141"/>
    </row>
    <row r="106" spans="1:27" ht="17.45" customHeight="1" x14ac:dyDescent="0.2">
      <c r="A106" s="187" t="s">
        <v>110</v>
      </c>
      <c r="B106" s="178">
        <f>'[3]OP Expense Template by Dep '!G24</f>
        <v>5495.0099999999993</v>
      </c>
      <c r="C106" s="178">
        <f>'[3]OP Expense Template by Dep '!T24</f>
        <v>26286.78</v>
      </c>
      <c r="D106" s="189">
        <v>75000</v>
      </c>
      <c r="E106" s="190">
        <f t="shared" si="0"/>
        <v>0.35049039999999998</v>
      </c>
      <c r="F106" s="146">
        <v>0.41699999999999998</v>
      </c>
      <c r="G106" s="146">
        <f t="shared" si="9"/>
        <v>31275</v>
      </c>
      <c r="H106" s="146">
        <f t="shared" si="10"/>
        <v>31275</v>
      </c>
      <c r="I106" s="147">
        <v>24975</v>
      </c>
      <c r="AA106" s="141"/>
    </row>
    <row r="107" spans="1:27" ht="17.45" customHeight="1" x14ac:dyDescent="0.2">
      <c r="A107" s="187" t="s">
        <v>111</v>
      </c>
      <c r="B107" s="178">
        <f>'[3]OP Expense Template by Dep '!G25</f>
        <v>38558.06</v>
      </c>
      <c r="C107" s="178">
        <f>'[3]OP Expense Template by Dep '!T25</f>
        <v>168702.87</v>
      </c>
      <c r="D107" s="189">
        <v>375000</v>
      </c>
      <c r="E107" s="190">
        <f t="shared" si="0"/>
        <v>0.44987431999999999</v>
      </c>
      <c r="F107" s="146">
        <v>0.41699999999999998</v>
      </c>
      <c r="G107" s="146">
        <f t="shared" si="9"/>
        <v>156375</v>
      </c>
      <c r="H107" s="146">
        <f t="shared" si="10"/>
        <v>156375</v>
      </c>
      <c r="I107" s="147">
        <v>124875</v>
      </c>
      <c r="AA107" s="141"/>
    </row>
    <row r="108" spans="1:27" ht="17.45" customHeight="1" x14ac:dyDescent="0.2">
      <c r="A108" s="187" t="s">
        <v>112</v>
      </c>
      <c r="B108" s="178">
        <f>'[3]OP Expense Template by Dep '!G26</f>
        <v>500</v>
      </c>
      <c r="C108" s="178">
        <f>'[3]OP Expense Template by Dep '!T26</f>
        <v>500</v>
      </c>
      <c r="D108" s="189">
        <v>1050</v>
      </c>
      <c r="E108" s="190">
        <f t="shared" si="0"/>
        <v>0.47619047619047616</v>
      </c>
      <c r="F108" s="146">
        <v>0.41699999999999998</v>
      </c>
      <c r="G108" s="146">
        <f t="shared" si="9"/>
        <v>437.84999999999997</v>
      </c>
      <c r="H108" s="146">
        <f t="shared" si="10"/>
        <v>438</v>
      </c>
      <c r="I108" s="147">
        <v>350</v>
      </c>
      <c r="AA108" s="141"/>
    </row>
    <row r="109" spans="1:27" ht="17.45" customHeight="1" x14ac:dyDescent="0.2">
      <c r="A109" s="187" t="s">
        <v>113</v>
      </c>
      <c r="B109" s="178">
        <f>'[3]OP Expense Template by Dep '!G27</f>
        <v>390.84</v>
      </c>
      <c r="C109" s="178">
        <f>'[3]OP Expense Template by Dep '!T27</f>
        <v>2302.0500000000002</v>
      </c>
      <c r="D109" s="189">
        <v>10200</v>
      </c>
      <c r="E109" s="190">
        <f t="shared" si="0"/>
        <v>0.22569117647058826</v>
      </c>
      <c r="F109" s="146">
        <v>0.41699999999999998</v>
      </c>
      <c r="G109" s="146">
        <f t="shared" si="9"/>
        <v>4253.3999999999996</v>
      </c>
      <c r="H109" s="146">
        <f t="shared" si="10"/>
        <v>4253</v>
      </c>
      <c r="I109" s="147">
        <v>3397</v>
      </c>
      <c r="AA109" s="141"/>
    </row>
    <row r="110" spans="1:27" ht="17.45" customHeight="1" x14ac:dyDescent="0.2">
      <c r="A110" s="203" t="s">
        <v>114</v>
      </c>
      <c r="B110" s="178">
        <f>'[3]OP Expense Template by Dep '!G28</f>
        <v>0</v>
      </c>
      <c r="C110" s="178">
        <f>'[3]OP Expense Template by Dep '!T28</f>
        <v>80458</v>
      </c>
      <c r="D110" s="189">
        <v>81000</v>
      </c>
      <c r="E110" s="190">
        <f t="shared" si="0"/>
        <v>0.99330864197530866</v>
      </c>
      <c r="F110" s="146">
        <v>1</v>
      </c>
      <c r="G110" s="146">
        <f t="shared" si="9"/>
        <v>81000</v>
      </c>
      <c r="H110" s="146">
        <f t="shared" si="10"/>
        <v>81000</v>
      </c>
      <c r="I110" s="147">
        <v>26973</v>
      </c>
      <c r="AA110" s="141"/>
    </row>
    <row r="111" spans="1:27" ht="17.45" customHeight="1" x14ac:dyDescent="0.2">
      <c r="A111" s="203" t="s">
        <v>115</v>
      </c>
      <c r="B111" s="178">
        <f>'[3]OP Expense Template by Dep '!G29</f>
        <v>461.02</v>
      </c>
      <c r="C111" s="178">
        <f>'[3]OP Expense Template by Dep '!T29</f>
        <v>1044.02</v>
      </c>
      <c r="D111" s="189">
        <v>3500</v>
      </c>
      <c r="E111" s="190">
        <f t="shared" si="0"/>
        <v>0.29829142857142854</v>
      </c>
      <c r="F111" s="146">
        <v>0.41699999999999998</v>
      </c>
      <c r="G111" s="146">
        <f t="shared" si="9"/>
        <v>1459.5</v>
      </c>
      <c r="H111" s="146">
        <f t="shared" si="10"/>
        <v>1460</v>
      </c>
      <c r="I111" s="147">
        <v>1166</v>
      </c>
      <c r="AA111" s="141"/>
    </row>
    <row r="112" spans="1:27" ht="17.45" hidden="1" customHeight="1" x14ac:dyDescent="0.2">
      <c r="A112" s="203" t="s">
        <v>116</v>
      </c>
      <c r="B112" s="178">
        <f>'[3]OP Expense Template by Dep '!G30</f>
        <v>0</v>
      </c>
      <c r="C112" s="178">
        <f>'[3]OP Expense Template by Dep '!T30</f>
        <v>0</v>
      </c>
      <c r="D112" s="189">
        <v>0</v>
      </c>
      <c r="F112" s="146">
        <v>0.41699999999999998</v>
      </c>
      <c r="G112" s="146">
        <f t="shared" si="9"/>
        <v>0</v>
      </c>
      <c r="H112" s="146">
        <f t="shared" si="10"/>
        <v>0</v>
      </c>
      <c r="I112" s="147">
        <v>0</v>
      </c>
      <c r="AA112" s="141"/>
    </row>
    <row r="113" spans="1:27" ht="17.45" customHeight="1" x14ac:dyDescent="0.2">
      <c r="A113" s="204" t="s">
        <v>117</v>
      </c>
      <c r="B113" s="178">
        <f>'[3]OP Expense Template by Dep '!G31</f>
        <v>0</v>
      </c>
      <c r="C113" s="178">
        <f>'[3]OP Expense Template by Dep '!T31</f>
        <v>14506.15</v>
      </c>
      <c r="D113" s="189">
        <v>67250</v>
      </c>
      <c r="E113" s="190">
        <f t="shared" ref="E113:E114" si="11">C113/D113</f>
        <v>0.21570483271375465</v>
      </c>
      <c r="F113" s="146">
        <v>0.41699999999999998</v>
      </c>
      <c r="G113" s="146">
        <f t="shared" si="9"/>
        <v>28043.25</v>
      </c>
      <c r="H113" s="146">
        <f t="shared" si="10"/>
        <v>28043</v>
      </c>
      <c r="I113" s="147">
        <v>22394</v>
      </c>
      <c r="AA113" s="141"/>
    </row>
    <row r="114" spans="1:27" ht="17.45" customHeight="1" x14ac:dyDescent="0.2">
      <c r="A114" s="56" t="s">
        <v>118</v>
      </c>
      <c r="B114" s="178">
        <f>'[3]OP Expense Template by Dep '!G32</f>
        <v>0</v>
      </c>
      <c r="C114" s="178">
        <v>392</v>
      </c>
      <c r="D114" s="189">
        <v>2794</v>
      </c>
      <c r="E114" s="190">
        <f t="shared" si="11"/>
        <v>0.14030064423765212</v>
      </c>
      <c r="F114" s="146">
        <v>0.41699999999999998</v>
      </c>
      <c r="G114" s="146">
        <f t="shared" si="9"/>
        <v>1165.098</v>
      </c>
      <c r="H114" s="146">
        <f t="shared" si="10"/>
        <v>1165</v>
      </c>
      <c r="I114" s="147">
        <v>930</v>
      </c>
      <c r="AA114" s="141"/>
    </row>
    <row r="115" spans="1:27" ht="17.45" customHeight="1" x14ac:dyDescent="0.2">
      <c r="A115" s="56"/>
      <c r="B115" s="193">
        <f>SUM(B88:B114)</f>
        <v>2379030.16</v>
      </c>
      <c r="C115" s="193">
        <f>SUM(C88:C114)</f>
        <v>10942478.939999994</v>
      </c>
      <c r="D115" s="193">
        <f>SUM(D88:D114)</f>
        <v>29055169</v>
      </c>
      <c r="E115" s="195">
        <f>C115/D115</f>
        <v>0.37661040415906699</v>
      </c>
      <c r="F115" s="146">
        <v>0.41699999999999998</v>
      </c>
      <c r="G115" s="146">
        <f>SUM(G89:G114)</f>
        <v>2515516.4730000002</v>
      </c>
      <c r="H115" s="149">
        <f>SUM(H90:H114)</f>
        <v>2515516</v>
      </c>
      <c r="I115" s="199">
        <v>1971084</v>
      </c>
      <c r="J115" s="79"/>
      <c r="K115" s="197"/>
      <c r="AA115" s="141"/>
    </row>
    <row r="116" spans="1:27" ht="17.45" customHeight="1" x14ac:dyDescent="0.2">
      <c r="A116" s="56"/>
      <c r="F116" s="146">
        <v>0.41699999999999998</v>
      </c>
      <c r="H116" s="205"/>
      <c r="I116" s="206"/>
      <c r="J116" s="55"/>
      <c r="K116" s="177"/>
      <c r="L116" s="177"/>
      <c r="M116" s="177"/>
      <c r="N116" s="177"/>
      <c r="O116" s="177"/>
      <c r="P116" s="177"/>
      <c r="Q116" s="177"/>
      <c r="R116" s="177"/>
      <c r="AA116" s="141"/>
    </row>
    <row r="117" spans="1:27" ht="17.45" customHeight="1" x14ac:dyDescent="0.2">
      <c r="A117" s="187" t="s">
        <v>68</v>
      </c>
      <c r="B117" s="178">
        <f>'[3]OP Expense Template by Dep '!G34</f>
        <v>28723</v>
      </c>
      <c r="C117" s="178">
        <f>'[3]OP Expense Template by Dep '!T34</f>
        <v>171405.09</v>
      </c>
      <c r="D117" s="178">
        <v>79242</v>
      </c>
      <c r="E117" s="190">
        <f t="shared" ref="E117:E119" si="12">C117/D117</f>
        <v>2.1630586052850762</v>
      </c>
      <c r="F117" s="146">
        <v>0.41699999999999998</v>
      </c>
      <c r="G117" s="146">
        <f t="shared" ref="G117:G118" si="13">D117*F117</f>
        <v>33043.913999999997</v>
      </c>
      <c r="H117" s="146">
        <f t="shared" ref="H117:H118" si="14">ROUND(G117,0)</f>
        <v>33044</v>
      </c>
      <c r="I117" s="147">
        <v>26388</v>
      </c>
      <c r="J117" s="79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AA117" s="141"/>
    </row>
    <row r="118" spans="1:27" ht="17.45" customHeight="1" x14ac:dyDescent="0.2">
      <c r="A118" s="187" t="s">
        <v>69</v>
      </c>
      <c r="B118" s="178">
        <f>'[3]OP Expense Template by Dep '!G35</f>
        <v>0</v>
      </c>
      <c r="C118" s="178">
        <f>'[3]OP Expense Template by Dep '!T35</f>
        <v>132320</v>
      </c>
      <c r="D118" s="178">
        <v>397247</v>
      </c>
      <c r="E118" s="207">
        <f t="shared" si="12"/>
        <v>0.33309250919453137</v>
      </c>
      <c r="F118" s="146">
        <v>0.41699999999999998</v>
      </c>
      <c r="G118" s="146">
        <f t="shared" si="13"/>
        <v>165651.99899999998</v>
      </c>
      <c r="H118" s="146">
        <f t="shared" si="14"/>
        <v>165652</v>
      </c>
      <c r="I118" s="147">
        <v>132283</v>
      </c>
      <c r="J118" s="80"/>
      <c r="K118" s="83"/>
      <c r="L118" s="177"/>
      <c r="M118" s="177"/>
      <c r="N118" s="177"/>
      <c r="O118" s="177"/>
      <c r="P118" s="177"/>
      <c r="Q118" s="177"/>
      <c r="R118" s="177"/>
      <c r="S118" s="177"/>
      <c r="T118" s="177"/>
      <c r="AA118" s="141"/>
    </row>
    <row r="119" spans="1:27" ht="17.45" customHeight="1" x14ac:dyDescent="0.2">
      <c r="A119" s="187"/>
      <c r="B119" s="193">
        <f>SUM(B117:B118)</f>
        <v>28723</v>
      </c>
      <c r="C119" s="193">
        <f>SUM(C117:C118)</f>
        <v>303725.08999999997</v>
      </c>
      <c r="D119" s="193">
        <f>SUM(D117:D118)</f>
        <v>476489</v>
      </c>
      <c r="E119" s="190">
        <f t="shared" si="12"/>
        <v>0.63742308846584073</v>
      </c>
      <c r="F119" s="146">
        <v>0.41699999999999998</v>
      </c>
      <c r="G119" s="146">
        <f>SUM(G116:G118)</f>
        <v>198695.91299999997</v>
      </c>
      <c r="H119" s="208">
        <f>SUM(H117:H118)</f>
        <v>198696</v>
      </c>
      <c r="I119" s="209">
        <v>158671</v>
      </c>
      <c r="J119" s="179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AA119" s="141"/>
    </row>
    <row r="120" spans="1:27" ht="17.45" customHeight="1" thickBot="1" x14ac:dyDescent="0.25">
      <c r="A120" s="187"/>
      <c r="B120" s="183">
        <f>B115+B119</f>
        <v>2407753.16</v>
      </c>
      <c r="C120" s="183">
        <f>C115+C119</f>
        <v>11246204.029999994</v>
      </c>
      <c r="D120" s="183">
        <f>D115+D119</f>
        <v>29531658</v>
      </c>
      <c r="E120" s="198">
        <f>C120/D120</f>
        <v>0.38081857882818476</v>
      </c>
      <c r="F120" s="210"/>
      <c r="G120" s="146">
        <f>G119+G115+G88</f>
        <v>12361924.386</v>
      </c>
      <c r="H120" s="149"/>
      <c r="I120" s="199"/>
      <c r="J120" s="79"/>
      <c r="K120" s="79"/>
      <c r="L120" s="177"/>
      <c r="M120" s="177"/>
      <c r="N120" s="177"/>
      <c r="O120" s="177"/>
      <c r="P120" s="177"/>
      <c r="Q120" s="177"/>
      <c r="R120" s="177"/>
      <c r="S120" s="177"/>
      <c r="T120" s="177"/>
      <c r="AA120" s="141"/>
    </row>
    <row r="121" spans="1:27" ht="17.45" customHeight="1" thickTop="1" x14ac:dyDescent="0.2">
      <c r="A121" s="187"/>
      <c r="G121" s="149"/>
      <c r="H121" s="205"/>
      <c r="I121" s="206"/>
      <c r="J121" s="55"/>
      <c r="K121" s="55"/>
      <c r="L121" s="177"/>
      <c r="M121" s="177"/>
      <c r="N121" s="177"/>
      <c r="O121" s="177"/>
      <c r="P121" s="177"/>
      <c r="Q121" s="177"/>
      <c r="R121" s="177"/>
      <c r="S121" s="177"/>
      <c r="T121" s="177"/>
    </row>
    <row r="122" spans="1:27" s="140" customFormat="1" ht="17.45" customHeight="1" thickBot="1" x14ac:dyDescent="0.25">
      <c r="A122" s="187" t="s">
        <v>119</v>
      </c>
      <c r="B122" s="183">
        <v>2134796.96</v>
      </c>
      <c r="C122" s="183">
        <v>5830591.96</v>
      </c>
      <c r="D122" s="183">
        <v>28399714</v>
      </c>
      <c r="E122" s="198">
        <v>0.20530460130690048</v>
      </c>
      <c r="F122" s="146"/>
      <c r="G122" s="149"/>
      <c r="H122" s="149"/>
      <c r="I122" s="199"/>
      <c r="J122" s="78"/>
      <c r="K122" s="79"/>
      <c r="L122" s="177"/>
      <c r="M122" s="177"/>
      <c r="N122" s="177"/>
      <c r="O122" s="177"/>
      <c r="P122" s="177"/>
      <c r="Q122" s="177"/>
      <c r="R122" s="177"/>
      <c r="S122" s="177"/>
      <c r="T122" s="177"/>
    </row>
    <row r="123" spans="1:27" s="140" customFormat="1" ht="17.45" customHeight="1" thickTop="1" x14ac:dyDescent="0.2">
      <c r="A123" s="187" t="s">
        <v>97</v>
      </c>
      <c r="B123" s="190">
        <f>(B120-B122)/B122</f>
        <v>0.12786049685961712</v>
      </c>
      <c r="C123" s="190">
        <f>(C120-C122)/C122</f>
        <v>0.92882714262172339</v>
      </c>
      <c r="D123" s="190">
        <f t="shared" ref="D123" si="15">(D120-D122)/D122</f>
        <v>3.9857584481308508E-2</v>
      </c>
      <c r="E123" s="190">
        <f>E120-E122</f>
        <v>0.17551397752128428</v>
      </c>
      <c r="F123" s="146"/>
      <c r="G123" s="211"/>
      <c r="H123" s="212"/>
      <c r="I123" s="213"/>
      <c r="J123" s="192"/>
      <c r="K123" s="192"/>
      <c r="L123" s="177"/>
      <c r="M123" s="177"/>
      <c r="N123" s="177"/>
      <c r="O123" s="177"/>
      <c r="P123" s="177"/>
      <c r="Q123" s="177"/>
      <c r="R123" s="177"/>
    </row>
    <row r="124" spans="1:27" s="140" customFormat="1" ht="17.45" customHeight="1" x14ac:dyDescent="0.2">
      <c r="A124" s="56"/>
      <c r="B124" s="59"/>
      <c r="C124" s="59"/>
      <c r="D124" s="59"/>
      <c r="E124" s="82"/>
      <c r="F124" s="146"/>
      <c r="G124" s="214"/>
      <c r="H124" s="214"/>
      <c r="I124" s="215"/>
      <c r="J124" s="84"/>
      <c r="K124" s="85"/>
      <c r="L124" s="177"/>
      <c r="M124" s="177"/>
      <c r="N124" s="177"/>
      <c r="O124" s="177"/>
      <c r="P124" s="177"/>
      <c r="Q124" s="177"/>
      <c r="R124" s="177"/>
    </row>
    <row r="125" spans="1:27" s="140" customFormat="1" ht="17.45" customHeight="1" x14ac:dyDescent="0.25">
      <c r="A125" s="265" t="s">
        <v>76</v>
      </c>
      <c r="B125" s="265"/>
      <c r="C125" s="265"/>
      <c r="D125" s="265"/>
      <c r="E125" s="265"/>
      <c r="F125" s="265"/>
      <c r="G125" s="208"/>
      <c r="H125" s="208"/>
      <c r="I125" s="209"/>
      <c r="J125" s="216"/>
      <c r="K125" s="177"/>
      <c r="L125" s="177"/>
      <c r="M125" s="177"/>
      <c r="N125" s="177"/>
      <c r="O125" s="177"/>
      <c r="P125" s="177"/>
      <c r="Q125" s="177"/>
      <c r="R125" s="177"/>
    </row>
    <row r="126" spans="1:27" s="140" customFormat="1" ht="17.45" customHeight="1" x14ac:dyDescent="0.25">
      <c r="A126" s="265" t="s">
        <v>120</v>
      </c>
      <c r="B126" s="265"/>
      <c r="C126" s="265"/>
      <c r="D126" s="265"/>
      <c r="E126" s="265"/>
      <c r="F126" s="265"/>
      <c r="G126" s="138"/>
      <c r="H126" s="138"/>
      <c r="I126" s="139"/>
      <c r="J126" s="141"/>
    </row>
    <row r="127" spans="1:27" s="140" customFormat="1" ht="17.45" customHeight="1" x14ac:dyDescent="0.25">
      <c r="A127" s="265" t="str">
        <f>A3</f>
        <v>Through September 2017, of FY 2017-18, 25.0% of the Budget Year</v>
      </c>
      <c r="B127" s="265"/>
      <c r="C127" s="265"/>
      <c r="D127" s="265"/>
      <c r="E127" s="265"/>
      <c r="F127" s="265"/>
      <c r="G127" s="208"/>
      <c r="H127" s="208"/>
      <c r="I127" s="209"/>
      <c r="J127" s="141"/>
    </row>
    <row r="128" spans="1:27" s="140" customFormat="1" ht="17.45" customHeight="1" x14ac:dyDescent="0.25">
      <c r="A128" s="56"/>
      <c r="B128" s="56"/>
      <c r="C128" s="56"/>
      <c r="D128" s="56"/>
      <c r="E128" s="82"/>
      <c r="F128" s="217"/>
      <c r="G128" s="217"/>
      <c r="H128" s="217"/>
      <c r="I128" s="218"/>
      <c r="J128" s="178"/>
    </row>
    <row r="129" spans="1:27" s="140" customFormat="1" ht="17.45" customHeight="1" x14ac:dyDescent="0.25">
      <c r="A129" s="170"/>
      <c r="B129" s="170"/>
      <c r="C129" s="170"/>
      <c r="D129" s="170"/>
      <c r="E129" s="171"/>
      <c r="F129" s="208"/>
      <c r="G129" s="144"/>
      <c r="H129" s="144"/>
      <c r="I129" s="219"/>
      <c r="J129" s="178"/>
    </row>
    <row r="130" spans="1:27" s="140" customFormat="1" ht="17.45" customHeight="1" x14ac:dyDescent="0.25">
      <c r="A130" s="220" t="s">
        <v>121</v>
      </c>
      <c r="B130" s="260" t="s">
        <v>122</v>
      </c>
      <c r="C130" s="260"/>
      <c r="D130" s="260"/>
      <c r="E130" s="260"/>
      <c r="F130" s="260"/>
      <c r="G130" s="144"/>
      <c r="H130" s="144"/>
      <c r="I130" s="219"/>
      <c r="J130" s="178"/>
    </row>
    <row r="131" spans="1:27" s="140" customFormat="1" ht="17.45" customHeight="1" x14ac:dyDescent="0.25">
      <c r="A131" s="220"/>
      <c r="B131" s="221" t="s">
        <v>19</v>
      </c>
      <c r="C131" s="221" t="s">
        <v>20</v>
      </c>
      <c r="D131" s="221" t="s">
        <v>21</v>
      </c>
      <c r="E131" s="221" t="s">
        <v>123</v>
      </c>
      <c r="F131" s="222" t="s">
        <v>22</v>
      </c>
      <c r="G131" s="149"/>
      <c r="H131" s="167"/>
      <c r="I131" s="168"/>
      <c r="J131" s="73"/>
      <c r="K131" s="188"/>
    </row>
    <row r="132" spans="1:27" s="140" customFormat="1" ht="17.45" customHeight="1" x14ac:dyDescent="0.25">
      <c r="A132" s="220" t="s">
        <v>124</v>
      </c>
      <c r="B132" s="223">
        <v>2494013.9</v>
      </c>
      <c r="C132" s="223">
        <v>-11799.07</v>
      </c>
      <c r="D132" s="223">
        <v>1983155.82</v>
      </c>
      <c r="E132" s="223">
        <v>315146.56</v>
      </c>
      <c r="F132" s="149">
        <v>43927.76</v>
      </c>
      <c r="G132" s="154"/>
      <c r="H132" s="167"/>
      <c r="I132" s="168"/>
      <c r="J132" s="66"/>
      <c r="K132" s="224"/>
    </row>
    <row r="133" spans="1:27" s="140" customFormat="1" ht="17.45" customHeight="1" x14ac:dyDescent="0.25">
      <c r="A133" s="220" t="s">
        <v>125</v>
      </c>
      <c r="B133" s="223">
        <f>224292.87+209522.63</f>
        <v>433815.5</v>
      </c>
      <c r="C133" s="223"/>
      <c r="D133" s="223">
        <f>-715868+594763.52+250272.77</f>
        <v>129168.29000000001</v>
      </c>
      <c r="E133" s="223">
        <v>124.33</v>
      </c>
      <c r="F133" s="149"/>
      <c r="G133" s="154"/>
      <c r="H133" s="167"/>
      <c r="I133" s="168"/>
      <c r="J133" s="66"/>
      <c r="K133" s="224"/>
    </row>
    <row r="134" spans="1:27" s="140" customFormat="1" ht="17.45" customHeight="1" x14ac:dyDescent="0.25">
      <c r="A134" s="220" t="s">
        <v>149</v>
      </c>
      <c r="B134" s="194">
        <f>B132-B133</f>
        <v>2060198.4</v>
      </c>
      <c r="C134" s="194">
        <f>C132-C133</f>
        <v>-11799.07</v>
      </c>
      <c r="D134" s="194">
        <f t="shared" ref="D134:F134" si="16">D132-D133</f>
        <v>1853987.53</v>
      </c>
      <c r="E134" s="194">
        <f t="shared" si="16"/>
        <v>315022.23</v>
      </c>
      <c r="F134" s="149">
        <f t="shared" si="16"/>
        <v>43927.76</v>
      </c>
      <c r="G134" s="154"/>
      <c r="H134" s="167"/>
      <c r="I134" s="168"/>
      <c r="J134" s="188"/>
      <c r="K134" s="224"/>
    </row>
    <row r="135" spans="1:27" s="140" customFormat="1" ht="17.45" customHeight="1" x14ac:dyDescent="0.25">
      <c r="A135" s="220"/>
      <c r="B135" s="225"/>
      <c r="C135" s="225"/>
      <c r="D135" s="225"/>
      <c r="E135" s="225"/>
      <c r="F135" s="149"/>
      <c r="G135" s="154"/>
      <c r="H135" s="167"/>
      <c r="I135" s="168"/>
      <c r="J135" s="188"/>
      <c r="K135" s="224"/>
    </row>
    <row r="136" spans="1:27" s="178" customFormat="1" ht="17.45" customHeight="1" x14ac:dyDescent="0.25">
      <c r="A136" s="220"/>
      <c r="B136" s="223"/>
      <c r="C136" s="223"/>
      <c r="D136" s="223"/>
      <c r="E136" s="226"/>
      <c r="F136" s="149"/>
      <c r="G136" s="146"/>
      <c r="H136" s="167"/>
      <c r="I136" s="168"/>
      <c r="J136" s="177"/>
      <c r="K136" s="224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</row>
    <row r="137" spans="1:27" s="140" customFormat="1" ht="17.45" customHeight="1" x14ac:dyDescent="0.25">
      <c r="A137" s="220" t="s">
        <v>126</v>
      </c>
      <c r="B137" s="260" t="s">
        <v>127</v>
      </c>
      <c r="C137" s="260"/>
      <c r="D137" s="260"/>
      <c r="E137" s="260"/>
      <c r="F137" s="260"/>
      <c r="G137" s="144"/>
      <c r="H137" s="150"/>
      <c r="I137" s="227"/>
      <c r="J137" s="188"/>
      <c r="K137" s="224"/>
    </row>
    <row r="138" spans="1:27" s="140" customFormat="1" ht="17.45" customHeight="1" x14ac:dyDescent="0.25">
      <c r="A138" s="220"/>
      <c r="B138" s="221" t="s">
        <v>19</v>
      </c>
      <c r="C138" s="221" t="s">
        <v>20</v>
      </c>
      <c r="D138" s="221" t="s">
        <v>21</v>
      </c>
      <c r="E138" s="221" t="s">
        <v>123</v>
      </c>
      <c r="F138" s="222" t="s">
        <v>22</v>
      </c>
      <c r="G138" s="149"/>
      <c r="H138" s="150"/>
      <c r="I138" s="227"/>
      <c r="J138" s="73"/>
      <c r="K138" s="224"/>
    </row>
    <row r="139" spans="1:27" s="140" customFormat="1" ht="17.45" customHeight="1" x14ac:dyDescent="0.25">
      <c r="A139" s="220" t="s">
        <v>124</v>
      </c>
      <c r="B139" s="223">
        <v>-25797.48</v>
      </c>
      <c r="C139" s="223">
        <v>0</v>
      </c>
      <c r="D139" s="223">
        <v>5023315.0199999996</v>
      </c>
      <c r="E139" s="223">
        <v>573358.84</v>
      </c>
      <c r="F139" s="149">
        <v>43260.65</v>
      </c>
      <c r="G139" s="154"/>
      <c r="H139" s="150"/>
      <c r="I139" s="227"/>
      <c r="J139" s="67"/>
      <c r="K139" s="224"/>
    </row>
    <row r="140" spans="1:27" s="140" customFormat="1" ht="17.45" customHeight="1" x14ac:dyDescent="0.25">
      <c r="A140" s="220" t="str">
        <f>A133</f>
        <v>Billied in Current FY 2018</v>
      </c>
      <c r="B140" s="223"/>
      <c r="C140" s="223"/>
      <c r="D140" s="223">
        <f>-5886.62+112383.19</f>
        <v>106496.57</v>
      </c>
      <c r="E140" s="223">
        <f>8931.24+3437.5</f>
        <v>12368.74</v>
      </c>
      <c r="F140" s="149"/>
      <c r="G140" s="154"/>
      <c r="H140" s="146"/>
      <c r="I140" s="147"/>
      <c r="J140" s="67"/>
    </row>
    <row r="141" spans="1:27" s="140" customFormat="1" ht="17.45" customHeight="1" x14ac:dyDescent="0.25">
      <c r="A141" s="220" t="str">
        <f>A134</f>
        <v>Balance at 09/30/2017</v>
      </c>
      <c r="B141" s="194">
        <f>B139-B140</f>
        <v>-25797.48</v>
      </c>
      <c r="C141" s="194">
        <f>C139-C140</f>
        <v>0</v>
      </c>
      <c r="D141" s="194">
        <f t="shared" ref="D141:F141" si="17">D139-D140</f>
        <v>4916818.4499999993</v>
      </c>
      <c r="E141" s="194">
        <f t="shared" si="17"/>
        <v>560990.1</v>
      </c>
      <c r="F141" s="149">
        <f t="shared" si="17"/>
        <v>43260.65</v>
      </c>
      <c r="G141" s="154"/>
      <c r="H141" s="154"/>
      <c r="I141" s="155"/>
      <c r="J141" s="188"/>
    </row>
    <row r="142" spans="1:27" s="178" customFormat="1" ht="17.45" customHeight="1" x14ac:dyDescent="0.25">
      <c r="A142" s="220"/>
      <c r="B142" s="223"/>
      <c r="C142" s="223"/>
      <c r="D142" s="223"/>
      <c r="E142" s="226"/>
      <c r="F142" s="149"/>
      <c r="G142" s="146"/>
      <c r="H142" s="154"/>
      <c r="I142" s="155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</row>
    <row r="143" spans="1:27" s="178" customFormat="1" ht="17.45" customHeight="1" x14ac:dyDescent="0.25">
      <c r="A143" s="220"/>
      <c r="B143" s="223"/>
      <c r="C143" s="223"/>
      <c r="D143" s="223"/>
      <c r="E143" s="226"/>
      <c r="F143" s="149"/>
      <c r="G143" s="146"/>
      <c r="H143" s="154"/>
      <c r="I143" s="155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</row>
    <row r="144" spans="1:27" s="178" customFormat="1" ht="17.45" customHeight="1" x14ac:dyDescent="0.2">
      <c r="A144" s="140"/>
      <c r="E144" s="228"/>
      <c r="F144" s="208"/>
      <c r="G144" s="146"/>
      <c r="H144" s="146"/>
      <c r="I144" s="147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</row>
    <row r="145" spans="1:27" s="178" customFormat="1" ht="39.6" customHeight="1" x14ac:dyDescent="0.2">
      <c r="A145" s="140"/>
      <c r="E145" s="228"/>
      <c r="F145" s="208"/>
      <c r="G145" s="146"/>
      <c r="H145" s="146"/>
      <c r="I145" s="147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</row>
    <row r="146" spans="1:27" s="178" customFormat="1" ht="17.45" customHeight="1" x14ac:dyDescent="0.25">
      <c r="A146" s="140"/>
      <c r="E146" s="228"/>
      <c r="F146" s="208"/>
      <c r="G146" s="146"/>
      <c r="H146" s="146"/>
      <c r="I146" s="147"/>
      <c r="J146" s="229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</row>
    <row r="147" spans="1:27" s="178" customFormat="1" ht="17.45" customHeight="1" x14ac:dyDescent="0.25">
      <c r="A147" s="261" t="s">
        <v>128</v>
      </c>
      <c r="B147" s="261"/>
      <c r="C147" s="261"/>
      <c r="D147" s="261"/>
      <c r="E147" s="261"/>
      <c r="F147" s="261"/>
      <c r="G147" s="146"/>
      <c r="H147" s="146"/>
      <c r="I147" s="147"/>
      <c r="J147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</row>
    <row r="148" spans="1:27" s="178" customFormat="1" ht="17.45" customHeight="1" x14ac:dyDescent="0.25">
      <c r="A148" s="203"/>
      <c r="B148" s="56"/>
      <c r="C148" s="230"/>
      <c r="D148" s="59"/>
      <c r="E148" s="82"/>
      <c r="F148" s="231"/>
      <c r="G148" s="146"/>
      <c r="H148" s="146"/>
      <c r="I148" s="147"/>
      <c r="J148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</row>
    <row r="149" spans="1:27" s="178" customFormat="1" ht="17.45" customHeight="1" x14ac:dyDescent="0.25">
      <c r="A149" s="87" t="s">
        <v>129</v>
      </c>
      <c r="C149" s="59"/>
      <c r="D149" s="86"/>
      <c r="E149" s="88">
        <v>43013</v>
      </c>
      <c r="F149" s="208"/>
      <c r="G149" s="232"/>
      <c r="H149" s="232"/>
      <c r="I149" s="233"/>
      <c r="J149" s="229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</row>
    <row r="150" spans="1:27" s="178" customFormat="1" ht="17.45" customHeight="1" x14ac:dyDescent="0.25">
      <c r="A150" s="87" t="s">
        <v>130</v>
      </c>
      <c r="C150" s="59"/>
      <c r="D150" s="86"/>
      <c r="E150" s="88">
        <v>43017</v>
      </c>
      <c r="F150" s="208"/>
      <c r="G150" s="232"/>
      <c r="H150" s="232"/>
      <c r="I150" s="233"/>
      <c r="J15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</row>
    <row r="151" spans="1:27" s="178" customFormat="1" ht="17.45" customHeight="1" x14ac:dyDescent="0.25">
      <c r="A151" s="87" t="s">
        <v>131</v>
      </c>
      <c r="C151" s="59"/>
      <c r="D151" s="86"/>
      <c r="E151" s="88">
        <v>43014</v>
      </c>
      <c r="F151" s="208"/>
      <c r="G151" s="232"/>
      <c r="H151" s="232"/>
      <c r="I151" s="233"/>
      <c r="J151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</row>
    <row r="152" spans="1:27" s="178" customFormat="1" ht="17.45" customHeight="1" x14ac:dyDescent="0.2">
      <c r="A152" s="87" t="s">
        <v>132</v>
      </c>
      <c r="C152" s="59"/>
      <c r="D152" s="86"/>
      <c r="E152" s="88">
        <v>43013</v>
      </c>
      <c r="F152" s="208"/>
      <c r="G152" s="232"/>
      <c r="H152" s="232"/>
      <c r="I152" s="233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</row>
    <row r="153" spans="1:27" s="178" customFormat="1" ht="17.45" customHeight="1" x14ac:dyDescent="0.2">
      <c r="A153" s="87" t="s">
        <v>133</v>
      </c>
      <c r="C153" s="59"/>
      <c r="D153" s="86"/>
      <c r="E153" s="88">
        <v>43017</v>
      </c>
      <c r="F153" s="208"/>
      <c r="G153" s="232"/>
      <c r="H153" s="232"/>
      <c r="I153" s="233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</row>
    <row r="154" spans="1:27" s="178" customFormat="1" ht="17.45" customHeight="1" x14ac:dyDescent="0.2">
      <c r="A154" s="140"/>
      <c r="E154" s="228"/>
      <c r="F154" s="208"/>
      <c r="G154" s="232"/>
      <c r="H154" s="232"/>
      <c r="I154" s="233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</row>
    <row r="155" spans="1:27" s="178" customFormat="1" ht="17.45" customHeight="1" x14ac:dyDescent="0.2">
      <c r="A155" s="140"/>
      <c r="E155" s="228"/>
      <c r="F155" s="208"/>
      <c r="G155" s="232"/>
      <c r="H155" s="232"/>
      <c r="I155" s="233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</row>
    <row r="156" spans="1:27" s="178" customFormat="1" ht="46.9" customHeight="1" x14ac:dyDescent="0.2">
      <c r="A156" s="140"/>
      <c r="E156" s="228"/>
      <c r="F156" s="208"/>
      <c r="G156" s="234"/>
      <c r="H156" s="234"/>
      <c r="I156" s="235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</row>
    <row r="157" spans="1:27" s="178" customFormat="1" ht="17.45" customHeight="1" x14ac:dyDescent="0.2">
      <c r="A157" s="236"/>
      <c r="B157" s="237"/>
      <c r="C157" s="237"/>
      <c r="D157" s="237"/>
      <c r="E157" s="238"/>
      <c r="F157" s="145"/>
      <c r="G157" s="146"/>
      <c r="H157" s="146"/>
      <c r="I157" s="147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</row>
    <row r="158" spans="1:27" s="178" customFormat="1" ht="17.45" customHeight="1" x14ac:dyDescent="0.25">
      <c r="A158" s="239" t="s">
        <v>134</v>
      </c>
      <c r="B158" s="239"/>
      <c r="C158" s="239"/>
      <c r="D158" s="239"/>
      <c r="E158" s="240"/>
      <c r="F158" s="145"/>
      <c r="G158" s="146"/>
      <c r="H158" s="146"/>
      <c r="I158" s="147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</row>
    <row r="159" spans="1:27" s="178" customFormat="1" ht="36.6" customHeight="1" x14ac:dyDescent="0.2">
      <c r="A159" s="236"/>
      <c r="B159" s="237"/>
      <c r="C159" s="237"/>
      <c r="D159" s="237"/>
      <c r="E159" s="238"/>
      <c r="F159" s="145"/>
      <c r="G159" s="146"/>
      <c r="H159" s="146"/>
      <c r="I159" s="147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</row>
    <row r="160" spans="1:27" s="178" customFormat="1" ht="17.45" customHeight="1" x14ac:dyDescent="0.25">
      <c r="A160" s="241"/>
      <c r="B160" s="219" t="s">
        <v>135</v>
      </c>
      <c r="C160" s="219" t="s">
        <v>136</v>
      </c>
      <c r="D160" s="219" t="s">
        <v>137</v>
      </c>
      <c r="E160" s="242" t="s">
        <v>63</v>
      </c>
      <c r="F160" s="145"/>
      <c r="G160" s="146"/>
      <c r="H160" s="146"/>
      <c r="I160" s="147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</row>
    <row r="161" spans="1:27" s="178" customFormat="1" ht="17.45" customHeight="1" x14ac:dyDescent="0.25">
      <c r="A161" s="236"/>
      <c r="B161" s="219" t="s">
        <v>138</v>
      </c>
      <c r="C161" s="243" t="s">
        <v>139</v>
      </c>
      <c r="D161" s="243"/>
      <c r="E161" s="244"/>
      <c r="F161" s="145"/>
      <c r="G161" s="146"/>
      <c r="H161" s="146"/>
      <c r="I161" s="147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</row>
    <row r="162" spans="1:27" s="178" customFormat="1" ht="17.45" customHeight="1" x14ac:dyDescent="0.2">
      <c r="A162" s="241" t="s">
        <v>140</v>
      </c>
      <c r="B162" s="245">
        <v>11909</v>
      </c>
      <c r="C162" s="199">
        <v>11957</v>
      </c>
      <c r="D162" s="199">
        <f>+C162-B162</f>
        <v>48</v>
      </c>
      <c r="E162" s="246">
        <f>+D162/B162</f>
        <v>4.0305651188177012E-3</v>
      </c>
      <c r="F162" s="149"/>
      <c r="G162" s="146"/>
      <c r="H162" s="146"/>
      <c r="I162" s="147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</row>
    <row r="163" spans="1:27" s="178" customFormat="1" ht="17.45" customHeight="1" x14ac:dyDescent="0.2">
      <c r="A163" s="247" t="s">
        <v>141</v>
      </c>
      <c r="B163" s="199">
        <v>217550</v>
      </c>
      <c r="C163" s="199">
        <v>217550</v>
      </c>
      <c r="D163" s="199">
        <f>+C163-B163</f>
        <v>0</v>
      </c>
      <c r="E163" s="246">
        <f>+D163/B163</f>
        <v>0</v>
      </c>
      <c r="F163" s="149"/>
      <c r="G163" s="146"/>
      <c r="H163" s="146"/>
      <c r="I163" s="147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</row>
    <row r="164" spans="1:27" s="178" customFormat="1" ht="17.45" customHeight="1" x14ac:dyDescent="0.2">
      <c r="A164" s="247" t="s">
        <v>142</v>
      </c>
      <c r="B164" s="199">
        <v>622.25</v>
      </c>
      <c r="C164" s="199">
        <f>C163/C162</f>
        <v>18.194363134565528</v>
      </c>
      <c r="D164" s="199">
        <f>+C164-B164</f>
        <v>-604.05563686543451</v>
      </c>
      <c r="E164" s="246">
        <f>+D164/B164</f>
        <v>-0.97076036458888626</v>
      </c>
      <c r="F164" s="149"/>
      <c r="G164" s="146"/>
      <c r="H164" s="146"/>
      <c r="I164" s="147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</row>
    <row r="165" spans="1:27" s="178" customFormat="1" ht="17.45" customHeight="1" x14ac:dyDescent="0.2">
      <c r="A165" s="236"/>
      <c r="B165" s="248"/>
      <c r="C165" s="237"/>
      <c r="D165" s="237"/>
      <c r="E165" s="238"/>
      <c r="F165" s="149"/>
      <c r="G165" s="146"/>
      <c r="H165" s="146"/>
      <c r="I165" s="147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</row>
    <row r="166" spans="1:27" s="178" customFormat="1" ht="17.45" customHeight="1" x14ac:dyDescent="0.2">
      <c r="A166" s="247"/>
      <c r="B166" s="247"/>
      <c r="C166" s="247"/>
      <c r="D166" s="247"/>
      <c r="E166" s="249"/>
      <c r="F166" s="200"/>
      <c r="G166" s="146"/>
      <c r="H166" s="146"/>
      <c r="I166" s="147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</row>
    <row r="167" spans="1:27" s="178" customFormat="1" ht="17.45" customHeight="1" x14ac:dyDescent="0.25">
      <c r="A167" s="60"/>
      <c r="B167" s="56"/>
      <c r="C167" s="89"/>
      <c r="D167" s="56"/>
      <c r="E167" s="82"/>
      <c r="F167" s="146"/>
      <c r="G167" s="146"/>
      <c r="H167" s="146"/>
      <c r="I167" s="147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</row>
    <row r="168" spans="1:27" s="178" customFormat="1" ht="17.45" customHeight="1" x14ac:dyDescent="0.2">
      <c r="A168" s="56"/>
      <c r="B168" s="56"/>
      <c r="C168" s="65"/>
      <c r="D168" s="56"/>
      <c r="E168" s="82"/>
      <c r="F168" s="200"/>
      <c r="G168" s="146"/>
      <c r="H168" s="146"/>
      <c r="I168" s="147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</row>
    <row r="169" spans="1:27" s="178" customFormat="1" ht="17.45" customHeight="1" x14ac:dyDescent="0.2">
      <c r="A169" s="56"/>
      <c r="B169" s="56"/>
      <c r="C169" s="59"/>
      <c r="D169" s="56"/>
      <c r="E169" s="82"/>
      <c r="F169" s="200"/>
      <c r="G169" s="146"/>
      <c r="H169" s="146"/>
      <c r="I169" s="147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</row>
    <row r="170" spans="1:27" s="178" customFormat="1" ht="17.45" customHeight="1" x14ac:dyDescent="0.2">
      <c r="A170" s="56"/>
      <c r="B170" s="65"/>
      <c r="C170" s="65"/>
      <c r="D170" s="65"/>
      <c r="E170" s="73"/>
      <c r="F170" s="250"/>
      <c r="G170" s="146"/>
      <c r="H170" s="146"/>
      <c r="I170" s="147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</row>
    <row r="171" spans="1:27" s="178" customFormat="1" ht="17.45" customHeight="1" x14ac:dyDescent="0.2">
      <c r="A171" s="56"/>
      <c r="B171" s="56"/>
      <c r="C171" s="56"/>
      <c r="D171" s="56"/>
      <c r="E171" s="82"/>
      <c r="F171" s="146"/>
      <c r="G171" s="146"/>
      <c r="H171" s="146"/>
      <c r="I171" s="147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</row>
    <row r="172" spans="1:27" s="178" customFormat="1" ht="17.45" customHeight="1" x14ac:dyDescent="0.2">
      <c r="A172" s="187"/>
      <c r="B172" s="188"/>
      <c r="C172" s="188"/>
      <c r="D172" s="188"/>
      <c r="E172" s="179"/>
      <c r="F172" s="146"/>
      <c r="G172" s="146"/>
      <c r="H172" s="146"/>
      <c r="I172" s="147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</row>
    <row r="173" spans="1:27" s="178" customFormat="1" ht="17.45" customHeight="1" x14ac:dyDescent="0.2">
      <c r="A173" s="187"/>
      <c r="B173" s="65"/>
      <c r="C173" s="65"/>
      <c r="D173" s="65"/>
      <c r="E173" s="73"/>
      <c r="F173" s="251"/>
      <c r="G173" s="146"/>
      <c r="H173" s="146"/>
      <c r="I173" s="147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</row>
    <row r="174" spans="1:27" s="178" customFormat="1" ht="17.45" customHeight="1" x14ac:dyDescent="0.2">
      <c r="A174" s="187"/>
      <c r="B174" s="188"/>
      <c r="C174" s="188"/>
      <c r="D174" s="188"/>
      <c r="E174" s="179"/>
      <c r="F174" s="146"/>
      <c r="G174" s="146"/>
      <c r="H174" s="146"/>
      <c r="I174" s="147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</row>
    <row r="175" spans="1:27" s="178" customFormat="1" ht="17.45" customHeight="1" x14ac:dyDescent="0.2">
      <c r="A175" s="187"/>
      <c r="B175" s="188"/>
      <c r="C175" s="188"/>
      <c r="D175" s="188"/>
      <c r="E175" s="179"/>
      <c r="F175" s="146"/>
      <c r="G175" s="146"/>
      <c r="H175" s="146"/>
      <c r="I175" s="147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</row>
    <row r="176" spans="1:27" s="178" customFormat="1" ht="17.45" customHeight="1" x14ac:dyDescent="0.2">
      <c r="A176" s="187"/>
      <c r="E176" s="190"/>
      <c r="F176" s="146"/>
      <c r="G176" s="146"/>
      <c r="H176" s="146"/>
      <c r="I176" s="147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</row>
    <row r="177" spans="1:27" s="178" customFormat="1" ht="17.45" customHeight="1" x14ac:dyDescent="0.2">
      <c r="A177" s="187"/>
      <c r="E177" s="190"/>
      <c r="F177" s="146"/>
      <c r="G177" s="146"/>
      <c r="H177" s="146"/>
      <c r="I177" s="147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</row>
    <row r="178" spans="1:27" s="178" customFormat="1" ht="17.45" customHeight="1" x14ac:dyDescent="0.2">
      <c r="A178" s="187"/>
      <c r="E178" s="190"/>
      <c r="F178" s="146"/>
      <c r="G178" s="146"/>
      <c r="H178" s="146"/>
      <c r="I178" s="147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</row>
    <row r="179" spans="1:27" s="178" customFormat="1" ht="17.45" customHeight="1" x14ac:dyDescent="0.2">
      <c r="A179" s="187"/>
      <c r="E179" s="190"/>
      <c r="F179" s="146"/>
      <c r="G179" s="146"/>
      <c r="H179" s="146"/>
      <c r="I179" s="147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</row>
    <row r="180" spans="1:27" s="178" customFormat="1" ht="17.45" customHeight="1" x14ac:dyDescent="0.2">
      <c r="A180" s="187"/>
      <c r="E180" s="190"/>
      <c r="F180" s="146"/>
      <c r="G180" s="146"/>
      <c r="H180" s="146"/>
      <c r="I180" s="147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</row>
    <row r="181" spans="1:27" s="178" customFormat="1" ht="17.45" customHeight="1" x14ac:dyDescent="0.2">
      <c r="A181" s="187"/>
      <c r="E181" s="190"/>
      <c r="F181" s="146"/>
      <c r="G181" s="146"/>
      <c r="H181" s="146"/>
      <c r="I181" s="147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</row>
    <row r="182" spans="1:27" s="178" customFormat="1" ht="17.45" customHeight="1" x14ac:dyDescent="0.2">
      <c r="A182" s="187"/>
      <c r="E182" s="190"/>
      <c r="F182" s="146"/>
      <c r="G182" s="146"/>
      <c r="H182" s="146"/>
      <c r="I182" s="147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</row>
    <row r="183" spans="1:27" s="178" customFormat="1" ht="17.45" customHeight="1" x14ac:dyDescent="0.2">
      <c r="A183" s="187"/>
      <c r="E183" s="190"/>
      <c r="F183" s="146"/>
      <c r="G183" s="146"/>
      <c r="H183" s="146"/>
      <c r="I183" s="147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</row>
    <row r="184" spans="1:27" s="178" customFormat="1" ht="17.45" customHeight="1" x14ac:dyDescent="0.2">
      <c r="A184" s="187"/>
      <c r="E184" s="190"/>
      <c r="F184" s="146"/>
      <c r="G184" s="146"/>
      <c r="H184" s="146"/>
      <c r="I184" s="147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</row>
    <row r="185" spans="1:27" s="178" customFormat="1" ht="17.45" customHeight="1" x14ac:dyDescent="0.2">
      <c r="A185" s="187"/>
      <c r="E185" s="190"/>
      <c r="F185" s="146"/>
      <c r="G185" s="146"/>
      <c r="H185" s="146"/>
      <c r="I185" s="147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</row>
    <row r="186" spans="1:27" s="178" customFormat="1" ht="17.45" customHeight="1" x14ac:dyDescent="0.2">
      <c r="A186" s="187"/>
      <c r="E186" s="190"/>
      <c r="F186" s="146"/>
      <c r="G186" s="146"/>
      <c r="H186" s="146"/>
      <c r="I186" s="147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</row>
    <row r="187" spans="1:27" s="178" customFormat="1" ht="17.45" customHeight="1" x14ac:dyDescent="0.2">
      <c r="A187" s="187"/>
      <c r="E187" s="190"/>
      <c r="F187" s="146"/>
      <c r="G187" s="146"/>
      <c r="H187" s="146"/>
      <c r="I187" s="147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</row>
    <row r="188" spans="1:27" s="178" customFormat="1" ht="17.45" customHeight="1" x14ac:dyDescent="0.2">
      <c r="A188" s="187"/>
      <c r="E188" s="190"/>
      <c r="F188" s="146"/>
      <c r="G188" s="146"/>
      <c r="H188" s="146"/>
      <c r="I188" s="147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  <c r="AA188" s="140"/>
    </row>
    <row r="189" spans="1:27" s="178" customFormat="1" ht="17.45" customHeight="1" x14ac:dyDescent="0.2">
      <c r="A189" s="187"/>
      <c r="E189" s="190"/>
      <c r="F189" s="146"/>
      <c r="G189" s="146"/>
      <c r="H189" s="146"/>
      <c r="I189" s="147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</row>
    <row r="190" spans="1:27" s="178" customFormat="1" ht="17.45" customHeight="1" x14ac:dyDescent="0.2">
      <c r="A190" s="187"/>
      <c r="E190" s="190"/>
      <c r="F190" s="146"/>
      <c r="G190" s="146"/>
      <c r="H190" s="146"/>
      <c r="I190" s="147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</row>
    <row r="191" spans="1:27" s="178" customFormat="1" ht="17.45" customHeight="1" x14ac:dyDescent="0.2">
      <c r="A191" s="187"/>
      <c r="E191" s="190"/>
      <c r="F191" s="146"/>
      <c r="G191" s="146"/>
      <c r="H191" s="146"/>
      <c r="I191" s="147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</row>
    <row r="192" spans="1:27" s="178" customFormat="1" ht="17.45" customHeight="1" x14ac:dyDescent="0.2">
      <c r="A192" s="187"/>
      <c r="E192" s="190"/>
      <c r="F192" s="146"/>
      <c r="G192" s="146"/>
      <c r="H192" s="146"/>
      <c r="I192" s="147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40"/>
    </row>
    <row r="193" spans="1:27" s="178" customFormat="1" ht="17.45" customHeight="1" x14ac:dyDescent="0.2">
      <c r="A193" s="187"/>
      <c r="E193" s="190"/>
      <c r="F193" s="146"/>
      <c r="G193" s="146"/>
      <c r="H193" s="146"/>
      <c r="I193" s="147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</row>
    <row r="194" spans="1:27" s="178" customFormat="1" ht="17.45" customHeight="1" x14ac:dyDescent="0.2">
      <c r="A194" s="187"/>
      <c r="E194" s="190"/>
      <c r="F194" s="146"/>
      <c r="G194" s="146"/>
      <c r="H194" s="146"/>
      <c r="I194" s="147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0"/>
    </row>
    <row r="195" spans="1:27" s="178" customFormat="1" ht="17.45" customHeight="1" x14ac:dyDescent="0.2">
      <c r="A195" s="187"/>
      <c r="E195" s="190"/>
      <c r="F195" s="146"/>
      <c r="G195" s="146"/>
      <c r="H195" s="146"/>
      <c r="I195" s="147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</row>
    <row r="196" spans="1:27" s="178" customFormat="1" ht="17.45" customHeight="1" x14ac:dyDescent="0.2">
      <c r="A196" s="187"/>
      <c r="E196" s="190"/>
      <c r="F196" s="146"/>
      <c r="G196" s="146"/>
      <c r="H196" s="146"/>
      <c r="I196" s="147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</row>
    <row r="197" spans="1:27" s="178" customFormat="1" ht="17.45" customHeight="1" x14ac:dyDescent="0.2">
      <c r="A197" s="187"/>
      <c r="E197" s="190"/>
      <c r="F197" s="146"/>
      <c r="G197" s="146"/>
      <c r="H197" s="146"/>
      <c r="I197" s="147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</row>
    <row r="198" spans="1:27" s="178" customFormat="1" ht="17.45" customHeight="1" x14ac:dyDescent="0.2">
      <c r="A198" s="187"/>
      <c r="E198" s="190"/>
      <c r="F198" s="146"/>
      <c r="G198" s="146"/>
      <c r="H198" s="146"/>
      <c r="I198" s="147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</row>
    <row r="199" spans="1:27" s="178" customFormat="1" ht="17.45" customHeight="1" x14ac:dyDescent="0.2">
      <c r="A199" s="187"/>
      <c r="E199" s="190"/>
      <c r="F199" s="146"/>
      <c r="G199" s="146"/>
      <c r="H199" s="146"/>
      <c r="I199" s="147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</row>
    <row r="200" spans="1:27" s="178" customFormat="1" ht="17.45" customHeight="1" x14ac:dyDescent="0.2">
      <c r="A200" s="187"/>
      <c r="E200" s="190"/>
      <c r="F200" s="146"/>
      <c r="G200" s="146"/>
      <c r="H200" s="146"/>
      <c r="I200" s="147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</row>
    <row r="201" spans="1:27" s="178" customFormat="1" ht="17.45" customHeight="1" x14ac:dyDescent="0.2">
      <c r="A201" s="187"/>
      <c r="E201" s="190"/>
      <c r="F201" s="146"/>
      <c r="G201" s="146"/>
      <c r="H201" s="146"/>
      <c r="I201" s="147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</row>
    <row r="202" spans="1:27" s="178" customFormat="1" ht="17.45" customHeight="1" x14ac:dyDescent="0.2">
      <c r="A202" s="187"/>
      <c r="E202" s="190"/>
      <c r="F202" s="146"/>
      <c r="G202" s="146"/>
      <c r="H202" s="146"/>
      <c r="I202" s="147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</row>
    <row r="203" spans="1:27" s="178" customFormat="1" ht="17.45" customHeight="1" x14ac:dyDescent="0.2">
      <c r="A203" s="187"/>
      <c r="E203" s="190"/>
      <c r="F203" s="146"/>
      <c r="G203" s="146"/>
      <c r="H203" s="146"/>
      <c r="I203" s="147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</row>
    <row r="204" spans="1:27" s="178" customFormat="1" ht="17.45" customHeight="1" x14ac:dyDescent="0.2">
      <c r="A204" s="187"/>
      <c r="E204" s="190"/>
      <c r="F204" s="146"/>
      <c r="G204" s="146"/>
      <c r="H204" s="146"/>
      <c r="I204" s="147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  <c r="Y204" s="140"/>
      <c r="Z204" s="140"/>
      <c r="AA204" s="140"/>
    </row>
    <row r="205" spans="1:27" s="178" customFormat="1" ht="17.45" customHeight="1" x14ac:dyDescent="0.2">
      <c r="A205" s="187"/>
      <c r="E205" s="190"/>
      <c r="F205" s="146"/>
      <c r="G205" s="146"/>
      <c r="H205" s="146"/>
      <c r="I205" s="147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</row>
    <row r="206" spans="1:27" s="178" customFormat="1" ht="17.45" customHeight="1" x14ac:dyDescent="0.2">
      <c r="A206" s="187"/>
      <c r="E206" s="190"/>
      <c r="F206" s="146"/>
      <c r="G206" s="146"/>
      <c r="H206" s="146"/>
      <c r="I206" s="147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</row>
    <row r="207" spans="1:27" s="178" customFormat="1" ht="17.45" customHeight="1" x14ac:dyDescent="0.2">
      <c r="A207" s="187"/>
      <c r="E207" s="190"/>
      <c r="F207" s="146"/>
      <c r="G207" s="146"/>
      <c r="H207" s="146"/>
      <c r="I207" s="147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  <c r="AA207" s="140"/>
    </row>
    <row r="208" spans="1:27" s="178" customFormat="1" ht="17.45" customHeight="1" x14ac:dyDescent="0.2">
      <c r="A208" s="187"/>
      <c r="E208" s="190"/>
      <c r="F208" s="146"/>
      <c r="G208" s="146"/>
      <c r="H208" s="146"/>
      <c r="I208" s="147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  <c r="AA208" s="140"/>
    </row>
    <row r="209" spans="1:27" s="178" customFormat="1" ht="17.45" customHeight="1" x14ac:dyDescent="0.2">
      <c r="A209" s="187"/>
      <c r="E209" s="190"/>
      <c r="F209" s="146"/>
      <c r="G209" s="146"/>
      <c r="H209" s="146"/>
      <c r="I209" s="147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140"/>
      <c r="AA209" s="140"/>
    </row>
    <row r="210" spans="1:27" s="178" customFormat="1" ht="17.45" customHeight="1" x14ac:dyDescent="0.2">
      <c r="A210" s="187"/>
      <c r="E210" s="190"/>
      <c r="F210" s="146"/>
      <c r="G210" s="146"/>
      <c r="H210" s="146"/>
      <c r="I210" s="147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140"/>
      <c r="AA210" s="140"/>
    </row>
    <row r="211" spans="1:27" s="178" customFormat="1" ht="17.45" customHeight="1" x14ac:dyDescent="0.2">
      <c r="A211" s="187"/>
      <c r="E211" s="190"/>
      <c r="F211" s="146"/>
      <c r="G211" s="146"/>
      <c r="H211" s="146"/>
      <c r="I211" s="147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</row>
    <row r="212" spans="1:27" s="178" customFormat="1" ht="17.45" customHeight="1" x14ac:dyDescent="0.2">
      <c r="A212" s="187"/>
      <c r="E212" s="190"/>
      <c r="F212" s="146"/>
      <c r="G212" s="146"/>
      <c r="H212" s="146"/>
      <c r="I212" s="147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</row>
    <row r="213" spans="1:27" s="178" customFormat="1" ht="17.45" customHeight="1" x14ac:dyDescent="0.2">
      <c r="A213" s="187"/>
      <c r="E213" s="190"/>
      <c r="F213" s="146"/>
      <c r="G213" s="146"/>
      <c r="H213" s="146"/>
      <c r="I213" s="147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140"/>
      <c r="AA213" s="140"/>
    </row>
    <row r="214" spans="1:27" s="178" customFormat="1" ht="17.45" customHeight="1" x14ac:dyDescent="0.2">
      <c r="A214" s="187"/>
      <c r="E214" s="190"/>
      <c r="F214" s="146"/>
      <c r="G214" s="146"/>
      <c r="H214" s="146"/>
      <c r="I214" s="147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</row>
    <row r="215" spans="1:27" s="178" customFormat="1" ht="17.45" customHeight="1" x14ac:dyDescent="0.2">
      <c r="A215" s="187"/>
      <c r="E215" s="190"/>
      <c r="F215" s="146"/>
      <c r="G215" s="146"/>
      <c r="H215" s="146"/>
      <c r="I215" s="147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140"/>
      <c r="AA215" s="140"/>
    </row>
    <row r="216" spans="1:27" s="178" customFormat="1" ht="17.45" customHeight="1" x14ac:dyDescent="0.2">
      <c r="A216" s="187"/>
      <c r="E216" s="190"/>
      <c r="F216" s="146"/>
      <c r="G216" s="146"/>
      <c r="H216" s="146"/>
      <c r="I216" s="147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  <c r="Y216" s="140"/>
      <c r="Z216" s="140"/>
      <c r="AA216" s="140"/>
    </row>
    <row r="217" spans="1:27" s="178" customFormat="1" ht="17.45" customHeight="1" x14ac:dyDescent="0.2">
      <c r="A217" s="187"/>
      <c r="E217" s="190"/>
      <c r="F217" s="146"/>
      <c r="G217" s="146"/>
      <c r="H217" s="146"/>
      <c r="I217" s="147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  <c r="Y217" s="140"/>
      <c r="Z217" s="140"/>
      <c r="AA217" s="140"/>
    </row>
    <row r="218" spans="1:27" s="178" customFormat="1" ht="17.45" customHeight="1" x14ac:dyDescent="0.2">
      <c r="A218" s="187"/>
      <c r="E218" s="190"/>
      <c r="F218" s="146"/>
      <c r="G218" s="146"/>
      <c r="H218" s="146"/>
      <c r="I218" s="147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40"/>
      <c r="AA218" s="140"/>
    </row>
    <row r="219" spans="1:27" s="178" customFormat="1" ht="17.45" customHeight="1" x14ac:dyDescent="0.2">
      <c r="A219" s="187"/>
      <c r="E219" s="190"/>
      <c r="F219" s="146"/>
      <c r="G219" s="146"/>
      <c r="H219" s="146"/>
      <c r="I219" s="147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140"/>
      <c r="AA219" s="140"/>
    </row>
    <row r="220" spans="1:27" s="178" customFormat="1" ht="17.45" customHeight="1" x14ac:dyDescent="0.2">
      <c r="A220" s="187"/>
      <c r="E220" s="190"/>
      <c r="F220" s="146"/>
      <c r="G220" s="146"/>
      <c r="H220" s="146"/>
      <c r="I220" s="147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  <c r="Y220" s="140"/>
      <c r="Z220" s="140"/>
      <c r="AA220" s="140"/>
    </row>
    <row r="221" spans="1:27" s="178" customFormat="1" ht="17.45" customHeight="1" x14ac:dyDescent="0.2">
      <c r="A221" s="187"/>
      <c r="E221" s="190"/>
      <c r="F221" s="146"/>
      <c r="G221" s="146"/>
      <c r="H221" s="146"/>
      <c r="I221" s="147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  <c r="Y221" s="140"/>
      <c r="Z221" s="140"/>
      <c r="AA221" s="140"/>
    </row>
    <row r="222" spans="1:27" s="178" customFormat="1" ht="17.45" customHeight="1" x14ac:dyDescent="0.2">
      <c r="A222" s="187"/>
      <c r="E222" s="190"/>
      <c r="F222" s="146"/>
      <c r="G222" s="146"/>
      <c r="H222" s="146"/>
      <c r="I222" s="147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  <c r="Z222" s="140"/>
      <c r="AA222" s="140"/>
    </row>
    <row r="223" spans="1:27" s="178" customFormat="1" ht="17.45" customHeight="1" x14ac:dyDescent="0.2">
      <c r="A223" s="187"/>
      <c r="E223" s="190"/>
      <c r="F223" s="146"/>
      <c r="G223" s="146"/>
      <c r="H223" s="146"/>
      <c r="I223" s="147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140"/>
      <c r="AA223" s="140"/>
    </row>
    <row r="224" spans="1:27" s="178" customFormat="1" ht="17.45" customHeight="1" x14ac:dyDescent="0.2">
      <c r="A224" s="187"/>
      <c r="E224" s="190"/>
      <c r="F224" s="146"/>
      <c r="G224" s="146"/>
      <c r="H224" s="146"/>
      <c r="I224" s="147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  <c r="Y224" s="140"/>
      <c r="Z224" s="140"/>
      <c r="AA224" s="140"/>
    </row>
    <row r="225" spans="1:27" s="178" customFormat="1" ht="17.45" customHeight="1" x14ac:dyDescent="0.2">
      <c r="A225" s="187"/>
      <c r="E225" s="190"/>
      <c r="F225" s="146"/>
      <c r="G225" s="146"/>
      <c r="H225" s="146"/>
      <c r="I225" s="147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140"/>
      <c r="AA225" s="140"/>
    </row>
    <row r="226" spans="1:27" s="178" customFormat="1" ht="17.45" customHeight="1" x14ac:dyDescent="0.2">
      <c r="A226" s="187"/>
      <c r="E226" s="190"/>
      <c r="F226" s="146"/>
      <c r="G226" s="146"/>
      <c r="H226" s="146"/>
      <c r="I226" s="147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  <c r="AA226" s="140"/>
    </row>
    <row r="227" spans="1:27" s="178" customFormat="1" ht="17.45" customHeight="1" x14ac:dyDescent="0.2">
      <c r="A227" s="187"/>
      <c r="E227" s="190"/>
      <c r="F227" s="146"/>
      <c r="G227" s="146"/>
      <c r="H227" s="146"/>
      <c r="I227" s="147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  <c r="Y227" s="140"/>
      <c r="Z227" s="140"/>
      <c r="AA227" s="140"/>
    </row>
    <row r="228" spans="1:27" s="178" customFormat="1" ht="17.45" customHeight="1" x14ac:dyDescent="0.2">
      <c r="A228" s="187"/>
      <c r="E228" s="190"/>
      <c r="F228" s="146"/>
      <c r="G228" s="146"/>
      <c r="H228" s="146"/>
      <c r="I228" s="147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  <c r="AA228" s="140"/>
    </row>
    <row r="229" spans="1:27" s="178" customFormat="1" ht="17.45" customHeight="1" x14ac:dyDescent="0.2">
      <c r="A229" s="187"/>
      <c r="E229" s="190"/>
      <c r="F229" s="146"/>
      <c r="G229" s="146"/>
      <c r="H229" s="146"/>
      <c r="I229" s="147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  <c r="Y229" s="140"/>
      <c r="Z229" s="140"/>
      <c r="AA229" s="140"/>
    </row>
    <row r="230" spans="1:27" s="178" customFormat="1" ht="17.45" customHeight="1" x14ac:dyDescent="0.2">
      <c r="A230" s="187"/>
      <c r="E230" s="190"/>
      <c r="F230" s="146"/>
      <c r="G230" s="146"/>
      <c r="H230" s="146"/>
      <c r="I230" s="147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  <c r="Y230" s="140"/>
      <c r="Z230" s="140"/>
      <c r="AA230" s="140"/>
    </row>
    <row r="231" spans="1:27" s="178" customFormat="1" ht="17.45" customHeight="1" x14ac:dyDescent="0.2">
      <c r="A231" s="187"/>
      <c r="E231" s="190"/>
      <c r="F231" s="146"/>
      <c r="G231" s="146"/>
      <c r="H231" s="146"/>
      <c r="I231" s="147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140"/>
      <c r="AA231" s="140"/>
    </row>
    <row r="232" spans="1:27" s="178" customFormat="1" ht="17.45" customHeight="1" x14ac:dyDescent="0.2">
      <c r="A232" s="187"/>
      <c r="E232" s="190"/>
      <c r="F232" s="146"/>
      <c r="G232" s="146"/>
      <c r="H232" s="146"/>
      <c r="I232" s="147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  <c r="AA232" s="140"/>
    </row>
    <row r="233" spans="1:27" s="178" customFormat="1" ht="17.45" customHeight="1" x14ac:dyDescent="0.2">
      <c r="A233" s="187"/>
      <c r="E233" s="190"/>
      <c r="F233" s="146"/>
      <c r="G233" s="146"/>
      <c r="H233" s="146"/>
      <c r="I233" s="147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0"/>
    </row>
    <row r="234" spans="1:27" s="178" customFormat="1" ht="17.45" customHeight="1" x14ac:dyDescent="0.2">
      <c r="A234" s="187"/>
      <c r="E234" s="190"/>
      <c r="F234" s="146"/>
      <c r="G234" s="146"/>
      <c r="H234" s="146"/>
      <c r="I234" s="147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  <c r="Y234" s="140"/>
      <c r="Z234" s="140"/>
      <c r="AA234" s="140"/>
    </row>
    <row r="235" spans="1:27" s="178" customFormat="1" ht="17.45" customHeight="1" x14ac:dyDescent="0.2">
      <c r="A235" s="187"/>
      <c r="E235" s="190"/>
      <c r="F235" s="146"/>
      <c r="G235" s="146"/>
      <c r="H235" s="146"/>
      <c r="I235" s="147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  <c r="W235" s="140"/>
      <c r="X235" s="140"/>
      <c r="Y235" s="140"/>
      <c r="Z235" s="140"/>
      <c r="AA235" s="140"/>
    </row>
    <row r="236" spans="1:27" s="178" customFormat="1" ht="17.45" customHeight="1" x14ac:dyDescent="0.2">
      <c r="A236" s="187"/>
      <c r="E236" s="190"/>
      <c r="F236" s="146"/>
      <c r="G236" s="146"/>
      <c r="H236" s="146"/>
      <c r="I236" s="147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  <c r="Y236" s="140"/>
      <c r="Z236" s="140"/>
      <c r="AA236" s="140"/>
    </row>
    <row r="237" spans="1:27" s="178" customFormat="1" ht="17.45" customHeight="1" x14ac:dyDescent="0.2">
      <c r="A237" s="187"/>
      <c r="E237" s="190"/>
      <c r="F237" s="146"/>
      <c r="G237" s="146"/>
      <c r="H237" s="146"/>
      <c r="I237" s="147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  <c r="W237" s="140"/>
      <c r="X237" s="140"/>
      <c r="Y237" s="140"/>
      <c r="Z237" s="140"/>
      <c r="AA237" s="140"/>
    </row>
    <row r="238" spans="1:27" s="178" customFormat="1" ht="17.45" customHeight="1" x14ac:dyDescent="0.2">
      <c r="A238" s="187"/>
      <c r="E238" s="190"/>
      <c r="F238" s="146"/>
      <c r="G238" s="146"/>
      <c r="H238" s="146"/>
      <c r="I238" s="147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  <c r="AA238" s="140"/>
    </row>
    <row r="239" spans="1:27" s="178" customFormat="1" ht="17.45" customHeight="1" x14ac:dyDescent="0.2">
      <c r="A239" s="187"/>
      <c r="E239" s="190"/>
      <c r="F239" s="146"/>
      <c r="G239" s="146"/>
      <c r="H239" s="146"/>
      <c r="I239" s="147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  <c r="Y239" s="140"/>
      <c r="Z239" s="140"/>
      <c r="AA239" s="140"/>
    </row>
    <row r="240" spans="1:27" s="178" customFormat="1" ht="17.45" customHeight="1" x14ac:dyDescent="0.2">
      <c r="A240" s="187"/>
      <c r="E240" s="190"/>
      <c r="F240" s="146"/>
      <c r="G240" s="146"/>
      <c r="H240" s="146"/>
      <c r="I240" s="147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  <c r="Y240" s="140"/>
      <c r="Z240" s="140"/>
      <c r="AA240" s="140"/>
    </row>
    <row r="241" spans="1:27" s="178" customFormat="1" ht="17.45" customHeight="1" x14ac:dyDescent="0.2">
      <c r="A241" s="187"/>
      <c r="E241" s="190"/>
      <c r="F241" s="146"/>
      <c r="G241" s="146"/>
      <c r="H241" s="146"/>
      <c r="I241" s="147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  <c r="Y241" s="140"/>
      <c r="Z241" s="140"/>
      <c r="AA241" s="140"/>
    </row>
    <row r="242" spans="1:27" s="178" customFormat="1" ht="17.45" customHeight="1" x14ac:dyDescent="0.2">
      <c r="A242" s="187"/>
      <c r="E242" s="190"/>
      <c r="F242" s="146"/>
      <c r="G242" s="146"/>
      <c r="H242" s="146"/>
      <c r="I242" s="147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40"/>
      <c r="AA242" s="140"/>
    </row>
    <row r="243" spans="1:27" s="178" customFormat="1" ht="17.45" customHeight="1" x14ac:dyDescent="0.2">
      <c r="A243" s="187"/>
      <c r="E243" s="190"/>
      <c r="F243" s="146"/>
      <c r="G243" s="146"/>
      <c r="H243" s="146"/>
      <c r="I243" s="147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  <c r="Y243" s="140"/>
      <c r="Z243" s="140"/>
      <c r="AA243" s="140"/>
    </row>
    <row r="244" spans="1:27" s="178" customFormat="1" ht="17.45" customHeight="1" x14ac:dyDescent="0.2">
      <c r="A244" s="187"/>
      <c r="E244" s="190"/>
      <c r="F244" s="146"/>
      <c r="G244" s="146"/>
      <c r="H244" s="146"/>
      <c r="I244" s="147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  <c r="AA244" s="140"/>
    </row>
    <row r="245" spans="1:27" s="178" customFormat="1" ht="17.45" customHeight="1" x14ac:dyDescent="0.2">
      <c r="A245" s="187"/>
      <c r="E245" s="190"/>
      <c r="F245" s="146"/>
      <c r="G245" s="146"/>
      <c r="H245" s="146"/>
      <c r="I245" s="147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  <c r="Y245" s="140"/>
      <c r="Z245" s="140"/>
      <c r="AA245" s="140"/>
    </row>
    <row r="246" spans="1:27" s="178" customFormat="1" ht="17.45" customHeight="1" x14ac:dyDescent="0.2">
      <c r="A246" s="187"/>
      <c r="E246" s="190"/>
      <c r="F246" s="146"/>
      <c r="G246" s="146"/>
      <c r="H246" s="146"/>
      <c r="I246" s="147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  <c r="Y246" s="140"/>
      <c r="Z246" s="140"/>
      <c r="AA246" s="140"/>
    </row>
    <row r="247" spans="1:27" s="178" customFormat="1" ht="17.45" customHeight="1" x14ac:dyDescent="0.2">
      <c r="A247" s="187"/>
      <c r="E247" s="190"/>
      <c r="F247" s="146"/>
      <c r="G247" s="146"/>
      <c r="H247" s="146"/>
      <c r="I247" s="147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  <c r="AA247" s="140"/>
    </row>
    <row r="248" spans="1:27" s="178" customFormat="1" ht="17.45" customHeight="1" x14ac:dyDescent="0.2">
      <c r="A248" s="187"/>
      <c r="E248" s="190"/>
      <c r="F248" s="146"/>
      <c r="G248" s="146"/>
      <c r="H248" s="146"/>
      <c r="I248" s="147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  <c r="Y248" s="140"/>
      <c r="Z248" s="140"/>
      <c r="AA248" s="140"/>
    </row>
    <row r="249" spans="1:27" s="178" customFormat="1" ht="17.45" customHeight="1" x14ac:dyDescent="0.2">
      <c r="A249" s="187"/>
      <c r="E249" s="190"/>
      <c r="F249" s="146"/>
      <c r="G249" s="146"/>
      <c r="H249" s="146"/>
      <c r="I249" s="147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  <c r="W249" s="140"/>
      <c r="X249" s="140"/>
      <c r="Y249" s="140"/>
      <c r="Z249" s="140"/>
      <c r="AA249" s="140"/>
    </row>
    <row r="250" spans="1:27" s="178" customFormat="1" ht="17.45" customHeight="1" x14ac:dyDescent="0.2">
      <c r="A250" s="187"/>
      <c r="E250" s="190"/>
      <c r="F250" s="146"/>
      <c r="G250" s="146"/>
      <c r="H250" s="146"/>
      <c r="I250" s="147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  <c r="AA250" s="140"/>
    </row>
    <row r="251" spans="1:27" s="178" customFormat="1" ht="17.45" customHeight="1" x14ac:dyDescent="0.2">
      <c r="A251" s="187"/>
      <c r="E251" s="190"/>
      <c r="F251" s="146"/>
      <c r="G251" s="146"/>
      <c r="H251" s="146"/>
      <c r="I251" s="147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  <c r="Y251" s="140"/>
      <c r="Z251" s="140"/>
      <c r="AA251" s="140"/>
    </row>
    <row r="252" spans="1:27" s="178" customFormat="1" ht="17.45" customHeight="1" x14ac:dyDescent="0.2">
      <c r="A252" s="187"/>
      <c r="E252" s="190"/>
      <c r="F252" s="146"/>
      <c r="G252" s="146"/>
      <c r="H252" s="146"/>
      <c r="I252" s="147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  <c r="Y252" s="140"/>
      <c r="Z252" s="140"/>
      <c r="AA252" s="140"/>
    </row>
    <row r="253" spans="1:27" s="178" customFormat="1" ht="17.45" customHeight="1" x14ac:dyDescent="0.2">
      <c r="A253" s="187"/>
      <c r="E253" s="190"/>
      <c r="F253" s="146"/>
      <c r="G253" s="146"/>
      <c r="H253" s="146"/>
      <c r="I253" s="147"/>
      <c r="J253" s="140"/>
      <c r="K253" s="140"/>
      <c r="L253" s="140"/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  <c r="Y253" s="140"/>
      <c r="Z253" s="140"/>
      <c r="AA253" s="140"/>
    </row>
    <row r="254" spans="1:27" s="178" customFormat="1" ht="17.45" customHeight="1" x14ac:dyDescent="0.2">
      <c r="A254" s="187"/>
      <c r="E254" s="190"/>
      <c r="F254" s="146"/>
      <c r="G254" s="146"/>
      <c r="H254" s="146"/>
      <c r="I254" s="147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  <c r="AA254" s="140"/>
    </row>
    <row r="255" spans="1:27" s="178" customFormat="1" ht="17.45" customHeight="1" x14ac:dyDescent="0.2">
      <c r="A255" s="187"/>
      <c r="E255" s="190"/>
      <c r="F255" s="146"/>
      <c r="G255" s="146"/>
      <c r="H255" s="146"/>
      <c r="I255" s="147"/>
      <c r="J255" s="140"/>
      <c r="K255" s="140"/>
      <c r="L255" s="140"/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  <c r="Y255" s="140"/>
      <c r="Z255" s="140"/>
      <c r="AA255" s="140"/>
    </row>
    <row r="256" spans="1:27" s="178" customFormat="1" ht="17.45" customHeight="1" x14ac:dyDescent="0.2">
      <c r="A256" s="187"/>
      <c r="E256" s="190"/>
      <c r="F256" s="146"/>
      <c r="G256" s="146"/>
      <c r="H256" s="146"/>
      <c r="I256" s="147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  <c r="Z256" s="140"/>
      <c r="AA256" s="140"/>
    </row>
    <row r="257" spans="1:27" s="178" customFormat="1" ht="17.45" customHeight="1" x14ac:dyDescent="0.2">
      <c r="A257" s="187"/>
      <c r="E257" s="190"/>
      <c r="F257" s="146"/>
      <c r="G257" s="146"/>
      <c r="H257" s="146"/>
      <c r="I257" s="147"/>
      <c r="J257" s="140"/>
      <c r="K257" s="140"/>
      <c r="L257" s="140"/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  <c r="Y257" s="140"/>
      <c r="Z257" s="140"/>
      <c r="AA257" s="140"/>
    </row>
    <row r="258" spans="1:27" s="178" customFormat="1" ht="17.45" customHeight="1" x14ac:dyDescent="0.2">
      <c r="A258" s="187"/>
      <c r="E258" s="190"/>
      <c r="F258" s="146"/>
      <c r="G258" s="146"/>
      <c r="H258" s="146"/>
      <c r="I258" s="147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40"/>
      <c r="Z258" s="140"/>
      <c r="AA258" s="140"/>
    </row>
    <row r="259" spans="1:27" s="178" customFormat="1" ht="17.45" customHeight="1" x14ac:dyDescent="0.2">
      <c r="A259" s="187"/>
      <c r="E259" s="190"/>
      <c r="F259" s="146"/>
      <c r="G259" s="146"/>
      <c r="H259" s="146"/>
      <c r="I259" s="147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  <c r="AA259" s="140"/>
    </row>
    <row r="260" spans="1:27" s="178" customFormat="1" ht="17.45" customHeight="1" x14ac:dyDescent="0.2">
      <c r="A260" s="187"/>
      <c r="E260" s="190"/>
      <c r="F260" s="146"/>
      <c r="G260" s="146"/>
      <c r="H260" s="146"/>
      <c r="I260" s="147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0"/>
    </row>
    <row r="261" spans="1:27" s="178" customFormat="1" ht="17.45" customHeight="1" x14ac:dyDescent="0.2">
      <c r="A261" s="187"/>
      <c r="E261" s="190"/>
      <c r="F261" s="146"/>
      <c r="G261" s="146"/>
      <c r="H261" s="146"/>
      <c r="I261" s="147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  <c r="AA261" s="140"/>
    </row>
    <row r="262" spans="1:27" s="178" customFormat="1" ht="17.45" customHeight="1" x14ac:dyDescent="0.2">
      <c r="A262" s="187"/>
      <c r="E262" s="190"/>
      <c r="F262" s="146"/>
      <c r="G262" s="146"/>
      <c r="H262" s="146"/>
      <c r="I262" s="147"/>
      <c r="J262" s="140"/>
      <c r="K262" s="140"/>
      <c r="L262" s="140"/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  <c r="Y262" s="140"/>
      <c r="Z262" s="140"/>
      <c r="AA262" s="140"/>
    </row>
    <row r="263" spans="1:27" s="178" customFormat="1" ht="17.45" customHeight="1" x14ac:dyDescent="0.2">
      <c r="A263" s="187"/>
      <c r="E263" s="190"/>
      <c r="F263" s="146"/>
      <c r="G263" s="146"/>
      <c r="H263" s="146"/>
      <c r="I263" s="147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  <c r="Y263" s="140"/>
      <c r="Z263" s="140"/>
      <c r="AA263" s="140"/>
    </row>
    <row r="264" spans="1:27" s="178" customFormat="1" ht="17.45" customHeight="1" x14ac:dyDescent="0.2">
      <c r="A264" s="187"/>
      <c r="E264" s="190"/>
      <c r="F264" s="146"/>
      <c r="G264" s="146"/>
      <c r="H264" s="146"/>
      <c r="I264" s="147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  <c r="AA264" s="140"/>
    </row>
    <row r="265" spans="1:27" s="178" customFormat="1" ht="17.45" customHeight="1" x14ac:dyDescent="0.2">
      <c r="A265" s="187"/>
      <c r="E265" s="190"/>
      <c r="F265" s="146"/>
      <c r="G265" s="146"/>
      <c r="H265" s="146"/>
      <c r="I265" s="147"/>
      <c r="J265" s="140"/>
      <c r="K265" s="140"/>
      <c r="L265" s="140"/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  <c r="Y265" s="140"/>
      <c r="Z265" s="140"/>
      <c r="AA265" s="140"/>
    </row>
    <row r="266" spans="1:27" s="178" customFormat="1" ht="17.45" customHeight="1" x14ac:dyDescent="0.2">
      <c r="A266" s="187"/>
      <c r="E266" s="190"/>
      <c r="F266" s="146"/>
      <c r="G266" s="146"/>
      <c r="H266" s="146"/>
      <c r="I266" s="147"/>
      <c r="J266" s="140"/>
      <c r="K266" s="140"/>
      <c r="L266" s="140"/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  <c r="Y266" s="140"/>
      <c r="Z266" s="140"/>
      <c r="AA266" s="140"/>
    </row>
    <row r="267" spans="1:27" s="178" customFormat="1" ht="17.45" customHeight="1" x14ac:dyDescent="0.2">
      <c r="A267" s="187"/>
      <c r="E267" s="190"/>
      <c r="F267" s="146"/>
      <c r="G267" s="146"/>
      <c r="H267" s="146"/>
      <c r="I267" s="147"/>
      <c r="J267" s="140"/>
      <c r="K267" s="140"/>
      <c r="L267" s="140"/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  <c r="Y267" s="140"/>
      <c r="Z267" s="140"/>
      <c r="AA267" s="140"/>
    </row>
    <row r="268" spans="1:27" s="178" customFormat="1" ht="17.45" customHeight="1" x14ac:dyDescent="0.2">
      <c r="A268" s="187"/>
      <c r="E268" s="190"/>
      <c r="F268" s="146"/>
      <c r="G268" s="146"/>
      <c r="H268" s="146"/>
      <c r="I268" s="147"/>
      <c r="J268" s="140"/>
      <c r="K268" s="140"/>
      <c r="L268" s="140"/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  <c r="Y268" s="140"/>
      <c r="Z268" s="140"/>
      <c r="AA268" s="140"/>
    </row>
    <row r="269" spans="1:27" s="178" customFormat="1" ht="17.45" customHeight="1" x14ac:dyDescent="0.2">
      <c r="A269" s="187"/>
      <c r="E269" s="190"/>
      <c r="F269" s="146"/>
      <c r="G269" s="146"/>
      <c r="H269" s="146"/>
      <c r="I269" s="147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  <c r="AA269" s="140"/>
    </row>
    <row r="270" spans="1:27" s="178" customFormat="1" ht="17.45" customHeight="1" x14ac:dyDescent="0.2">
      <c r="A270" s="187"/>
      <c r="E270" s="190"/>
      <c r="F270" s="146"/>
      <c r="G270" s="146"/>
      <c r="H270" s="146"/>
      <c r="I270" s="147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</row>
    <row r="271" spans="1:27" s="178" customFormat="1" ht="17.45" customHeight="1" x14ac:dyDescent="0.2">
      <c r="A271" s="187"/>
      <c r="E271" s="190"/>
      <c r="F271" s="146"/>
      <c r="G271" s="146"/>
      <c r="H271" s="146"/>
      <c r="I271" s="147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</row>
    <row r="272" spans="1:27" s="178" customFormat="1" ht="17.45" customHeight="1" x14ac:dyDescent="0.2">
      <c r="A272" s="187"/>
      <c r="E272" s="190"/>
      <c r="F272" s="146"/>
      <c r="G272" s="146"/>
      <c r="H272" s="146"/>
      <c r="I272" s="147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  <c r="Y272" s="140"/>
      <c r="Z272" s="140"/>
      <c r="AA272" s="140"/>
    </row>
    <row r="273" spans="1:27" s="178" customFormat="1" ht="17.45" customHeight="1" x14ac:dyDescent="0.2">
      <c r="A273" s="187"/>
      <c r="E273" s="190"/>
      <c r="F273" s="146"/>
      <c r="G273" s="146"/>
      <c r="H273" s="146"/>
      <c r="I273" s="147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  <c r="AA273" s="140"/>
    </row>
    <row r="274" spans="1:27" s="178" customFormat="1" ht="17.45" customHeight="1" x14ac:dyDescent="0.2">
      <c r="A274" s="187"/>
      <c r="E274" s="190"/>
      <c r="F274" s="146"/>
      <c r="G274" s="146"/>
      <c r="H274" s="146"/>
      <c r="I274" s="147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  <c r="Z274" s="140"/>
      <c r="AA274" s="140"/>
    </row>
    <row r="275" spans="1:27" s="178" customFormat="1" ht="17.45" customHeight="1" x14ac:dyDescent="0.2">
      <c r="A275" s="187"/>
      <c r="E275" s="190"/>
      <c r="F275" s="146"/>
      <c r="G275" s="146"/>
      <c r="H275" s="146"/>
      <c r="I275" s="147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  <c r="Y275" s="140"/>
      <c r="Z275" s="140"/>
      <c r="AA275" s="140"/>
    </row>
    <row r="276" spans="1:27" s="178" customFormat="1" ht="17.45" customHeight="1" x14ac:dyDescent="0.2">
      <c r="A276" s="187"/>
      <c r="E276" s="190"/>
      <c r="F276" s="146"/>
      <c r="G276" s="146"/>
      <c r="H276" s="146"/>
      <c r="I276" s="147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  <c r="AA276" s="140"/>
    </row>
    <row r="277" spans="1:27" s="178" customFormat="1" ht="17.45" customHeight="1" x14ac:dyDescent="0.2">
      <c r="A277" s="187"/>
      <c r="E277" s="190"/>
      <c r="F277" s="146"/>
      <c r="G277" s="146"/>
      <c r="H277" s="146"/>
      <c r="I277" s="147"/>
      <c r="J277" s="140"/>
      <c r="K277" s="140"/>
      <c r="L277" s="140"/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  <c r="Y277" s="140"/>
      <c r="Z277" s="140"/>
      <c r="AA277" s="140"/>
    </row>
    <row r="278" spans="1:27" s="178" customFormat="1" ht="17.45" customHeight="1" x14ac:dyDescent="0.2">
      <c r="A278" s="187"/>
      <c r="E278" s="190"/>
      <c r="F278" s="146"/>
      <c r="G278" s="146"/>
      <c r="H278" s="146"/>
      <c r="I278" s="147"/>
      <c r="J278" s="140"/>
      <c r="K278" s="140"/>
      <c r="L278" s="140"/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  <c r="Y278" s="140"/>
      <c r="Z278" s="140"/>
      <c r="AA278" s="140"/>
    </row>
    <row r="279" spans="1:27" s="178" customFormat="1" ht="17.45" customHeight="1" x14ac:dyDescent="0.2">
      <c r="A279" s="187"/>
      <c r="E279" s="190"/>
      <c r="F279" s="146"/>
      <c r="G279" s="146"/>
      <c r="H279" s="146"/>
      <c r="I279" s="147"/>
      <c r="J279" s="140"/>
      <c r="K279" s="140"/>
      <c r="L279" s="140"/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  <c r="Y279" s="140"/>
      <c r="Z279" s="140"/>
      <c r="AA279" s="140"/>
    </row>
    <row r="280" spans="1:27" s="178" customFormat="1" ht="17.45" customHeight="1" x14ac:dyDescent="0.2">
      <c r="A280" s="187"/>
      <c r="E280" s="190"/>
      <c r="F280" s="146"/>
      <c r="G280" s="146"/>
      <c r="H280" s="146"/>
      <c r="I280" s="147"/>
      <c r="J280" s="140"/>
      <c r="K280" s="140"/>
      <c r="L280" s="140"/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  <c r="Y280" s="140"/>
      <c r="Z280" s="140"/>
      <c r="AA280" s="140"/>
    </row>
    <row r="281" spans="1:27" s="178" customFormat="1" ht="17.45" customHeight="1" x14ac:dyDescent="0.2">
      <c r="A281" s="187"/>
      <c r="E281" s="190"/>
      <c r="F281" s="146"/>
      <c r="G281" s="146"/>
      <c r="H281" s="146"/>
      <c r="I281" s="147"/>
      <c r="J281" s="140"/>
      <c r="K281" s="140"/>
      <c r="L281" s="140"/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  <c r="Y281" s="140"/>
      <c r="Z281" s="140"/>
      <c r="AA281" s="140"/>
    </row>
    <row r="282" spans="1:27" s="178" customFormat="1" ht="17.45" customHeight="1" x14ac:dyDescent="0.2">
      <c r="A282" s="187"/>
      <c r="E282" s="190"/>
      <c r="F282" s="146"/>
      <c r="G282" s="146"/>
      <c r="H282" s="146"/>
      <c r="I282" s="147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</row>
    <row r="283" spans="1:27" s="178" customFormat="1" ht="17.45" customHeight="1" x14ac:dyDescent="0.2">
      <c r="A283" s="187"/>
      <c r="E283" s="190"/>
      <c r="F283" s="146"/>
      <c r="G283" s="146"/>
      <c r="H283" s="146"/>
      <c r="I283" s="147"/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  <c r="Y283" s="140"/>
      <c r="Z283" s="140"/>
      <c r="AA283" s="140"/>
    </row>
    <row r="284" spans="1:27" s="178" customFormat="1" ht="17.45" customHeight="1" x14ac:dyDescent="0.2">
      <c r="A284" s="187"/>
      <c r="E284" s="190"/>
      <c r="F284" s="146"/>
      <c r="G284" s="146"/>
      <c r="H284" s="146"/>
      <c r="I284" s="147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  <c r="Y284" s="140"/>
      <c r="Z284" s="140"/>
      <c r="AA284" s="140"/>
    </row>
    <row r="285" spans="1:27" s="178" customFormat="1" ht="17.45" customHeight="1" x14ac:dyDescent="0.2">
      <c r="A285" s="187"/>
      <c r="E285" s="190"/>
      <c r="F285" s="146"/>
      <c r="G285" s="146"/>
      <c r="H285" s="146"/>
      <c r="I285" s="147"/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  <c r="AA285" s="140"/>
    </row>
    <row r="286" spans="1:27" s="178" customFormat="1" ht="17.45" customHeight="1" x14ac:dyDescent="0.2">
      <c r="A286" s="187"/>
      <c r="E286" s="190"/>
      <c r="F286" s="146"/>
      <c r="G286" s="146"/>
      <c r="H286" s="146"/>
      <c r="I286" s="147"/>
      <c r="J286" s="140"/>
      <c r="K286" s="140"/>
      <c r="L286" s="140"/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  <c r="Y286" s="140"/>
      <c r="Z286" s="140"/>
      <c r="AA286" s="140"/>
    </row>
    <row r="287" spans="1:27" s="178" customFormat="1" ht="17.45" customHeight="1" x14ac:dyDescent="0.2">
      <c r="A287" s="187"/>
      <c r="E287" s="190"/>
      <c r="F287" s="146"/>
      <c r="G287" s="146"/>
      <c r="H287" s="146"/>
      <c r="I287" s="147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0"/>
    </row>
    <row r="288" spans="1:27" s="178" customFormat="1" ht="17.45" customHeight="1" x14ac:dyDescent="0.2">
      <c r="A288" s="187"/>
      <c r="E288" s="190"/>
      <c r="F288" s="146"/>
      <c r="G288" s="146"/>
      <c r="H288" s="146"/>
      <c r="I288" s="147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  <c r="AA288" s="140"/>
    </row>
    <row r="289" spans="1:27" s="178" customFormat="1" ht="17.45" customHeight="1" x14ac:dyDescent="0.2">
      <c r="A289" s="187"/>
      <c r="E289" s="190"/>
      <c r="F289" s="146"/>
      <c r="G289" s="146"/>
      <c r="H289" s="146"/>
      <c r="I289" s="147"/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140"/>
      <c r="Z289" s="140"/>
      <c r="AA289" s="140"/>
    </row>
    <row r="290" spans="1:27" s="178" customFormat="1" ht="17.45" customHeight="1" x14ac:dyDescent="0.2">
      <c r="A290" s="187"/>
      <c r="E290" s="190"/>
      <c r="F290" s="146"/>
      <c r="G290" s="146"/>
      <c r="H290" s="146"/>
      <c r="I290" s="147"/>
      <c r="J290" s="140"/>
      <c r="K290" s="140"/>
      <c r="L290" s="140"/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  <c r="Y290" s="140"/>
      <c r="Z290" s="140"/>
      <c r="AA290" s="140"/>
    </row>
    <row r="291" spans="1:27" s="178" customFormat="1" ht="17.45" customHeight="1" x14ac:dyDescent="0.2">
      <c r="A291" s="187"/>
      <c r="E291" s="190"/>
      <c r="F291" s="146"/>
      <c r="G291" s="146"/>
      <c r="H291" s="146"/>
      <c r="I291" s="147"/>
      <c r="J291" s="140"/>
      <c r="K291" s="140"/>
      <c r="L291" s="140"/>
      <c r="M291" s="140"/>
      <c r="N291" s="140"/>
      <c r="O291" s="140"/>
      <c r="P291" s="140"/>
      <c r="Q291" s="140"/>
      <c r="R291" s="140"/>
      <c r="S291" s="140"/>
      <c r="T291" s="140"/>
      <c r="U291" s="140"/>
      <c r="V291" s="140"/>
      <c r="W291" s="140"/>
      <c r="X291" s="140"/>
      <c r="Y291" s="140"/>
      <c r="Z291" s="140"/>
      <c r="AA291" s="140"/>
    </row>
    <row r="292" spans="1:27" s="178" customFormat="1" ht="17.45" customHeight="1" x14ac:dyDescent="0.2">
      <c r="A292" s="187"/>
      <c r="E292" s="190"/>
      <c r="F292" s="146"/>
      <c r="G292" s="146"/>
      <c r="H292" s="146"/>
      <c r="I292" s="147"/>
      <c r="J292" s="140"/>
      <c r="K292" s="140"/>
      <c r="L292" s="140"/>
      <c r="M292" s="140"/>
      <c r="N292" s="140"/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  <c r="Y292" s="140"/>
      <c r="Z292" s="140"/>
      <c r="AA292" s="140"/>
    </row>
    <row r="293" spans="1:27" s="178" customFormat="1" ht="17.45" customHeight="1" x14ac:dyDescent="0.2">
      <c r="A293" s="187"/>
      <c r="E293" s="190"/>
      <c r="F293" s="146"/>
      <c r="G293" s="146"/>
      <c r="H293" s="146"/>
      <c r="I293" s="147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  <c r="Z293" s="140"/>
      <c r="AA293" s="140"/>
    </row>
    <row r="294" spans="1:27" s="178" customFormat="1" ht="17.45" customHeight="1" x14ac:dyDescent="0.2">
      <c r="A294" s="187"/>
      <c r="E294" s="190"/>
      <c r="F294" s="146"/>
      <c r="G294" s="146"/>
      <c r="H294" s="146"/>
      <c r="I294" s="147"/>
      <c r="J294" s="140"/>
      <c r="K294" s="140"/>
      <c r="L294" s="140"/>
      <c r="M294" s="140"/>
      <c r="N294" s="140"/>
      <c r="O294" s="140"/>
      <c r="P294" s="140"/>
      <c r="Q294" s="140"/>
      <c r="R294" s="140"/>
      <c r="S294" s="140"/>
      <c r="T294" s="140"/>
      <c r="U294" s="140"/>
      <c r="V294" s="140"/>
      <c r="W294" s="140"/>
      <c r="X294" s="140"/>
      <c r="Y294" s="140"/>
      <c r="Z294" s="140"/>
      <c r="AA294" s="140"/>
    </row>
    <row r="295" spans="1:27" s="178" customFormat="1" ht="17.45" customHeight="1" x14ac:dyDescent="0.2">
      <c r="A295" s="187"/>
      <c r="E295" s="190"/>
      <c r="F295" s="146"/>
      <c r="G295" s="146"/>
      <c r="H295" s="146"/>
      <c r="I295" s="147"/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  <c r="Y295" s="140"/>
      <c r="Z295" s="140"/>
      <c r="AA295" s="140"/>
    </row>
    <row r="296" spans="1:27" s="178" customFormat="1" ht="17.45" customHeight="1" x14ac:dyDescent="0.2">
      <c r="A296" s="187"/>
      <c r="E296" s="190"/>
      <c r="F296" s="146"/>
      <c r="G296" s="146"/>
      <c r="H296" s="146"/>
      <c r="I296" s="147"/>
      <c r="J296" s="140"/>
      <c r="K296" s="140"/>
      <c r="L296" s="140"/>
      <c r="M296" s="140"/>
      <c r="N296" s="140"/>
      <c r="O296" s="140"/>
      <c r="P296" s="140"/>
      <c r="Q296" s="140"/>
      <c r="R296" s="140"/>
      <c r="S296" s="140"/>
      <c r="T296" s="140"/>
      <c r="U296" s="140"/>
      <c r="V296" s="140"/>
      <c r="W296" s="140"/>
      <c r="X296" s="140"/>
      <c r="Y296" s="140"/>
      <c r="Z296" s="140"/>
      <c r="AA296" s="140"/>
    </row>
    <row r="297" spans="1:27" s="178" customFormat="1" ht="17.45" customHeight="1" x14ac:dyDescent="0.2">
      <c r="A297" s="187"/>
      <c r="E297" s="190"/>
      <c r="F297" s="146"/>
      <c r="G297" s="146"/>
      <c r="H297" s="146"/>
      <c r="I297" s="147"/>
      <c r="J297" s="140"/>
      <c r="K297" s="140"/>
      <c r="L297" s="140"/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  <c r="Y297" s="140"/>
      <c r="Z297" s="140"/>
      <c r="AA297" s="140"/>
    </row>
    <row r="298" spans="1:27" s="178" customFormat="1" ht="17.45" customHeight="1" x14ac:dyDescent="0.2">
      <c r="A298" s="187"/>
      <c r="E298" s="190"/>
      <c r="F298" s="146"/>
      <c r="G298" s="146"/>
      <c r="H298" s="146"/>
      <c r="I298" s="147"/>
      <c r="J298" s="140"/>
      <c r="K298" s="140"/>
      <c r="L298" s="140"/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  <c r="Y298" s="140"/>
      <c r="Z298" s="140"/>
      <c r="AA298" s="140"/>
    </row>
    <row r="299" spans="1:27" s="178" customFormat="1" ht="17.45" customHeight="1" x14ac:dyDescent="0.2">
      <c r="A299" s="187"/>
      <c r="E299" s="190"/>
      <c r="F299" s="146"/>
      <c r="G299" s="146"/>
      <c r="H299" s="146"/>
      <c r="I299" s="147"/>
      <c r="J299" s="140"/>
      <c r="K299" s="140"/>
      <c r="L299" s="140"/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  <c r="Y299" s="140"/>
      <c r="Z299" s="140"/>
      <c r="AA299" s="140"/>
    </row>
    <row r="300" spans="1:27" s="178" customFormat="1" ht="17.45" customHeight="1" x14ac:dyDescent="0.2">
      <c r="A300" s="187"/>
      <c r="E300" s="190"/>
      <c r="F300" s="146"/>
      <c r="G300" s="146"/>
      <c r="H300" s="146"/>
      <c r="I300" s="147"/>
      <c r="J300" s="140"/>
      <c r="K300" s="140"/>
      <c r="L300" s="140"/>
      <c r="M300" s="140"/>
      <c r="N300" s="140"/>
      <c r="O300" s="140"/>
      <c r="P300" s="140"/>
      <c r="Q300" s="140"/>
      <c r="R300" s="140"/>
      <c r="S300" s="140"/>
      <c r="T300" s="140"/>
      <c r="U300" s="140"/>
      <c r="V300" s="140"/>
      <c r="W300" s="140"/>
      <c r="X300" s="140"/>
      <c r="Y300" s="140"/>
      <c r="Z300" s="140"/>
      <c r="AA300" s="140"/>
    </row>
    <row r="301" spans="1:27" s="178" customFormat="1" ht="17.45" customHeight="1" x14ac:dyDescent="0.2">
      <c r="A301" s="187"/>
      <c r="E301" s="190"/>
      <c r="F301" s="146"/>
      <c r="G301" s="146"/>
      <c r="H301" s="146"/>
      <c r="I301" s="147"/>
      <c r="J301" s="140"/>
      <c r="K301" s="140"/>
      <c r="L301" s="140"/>
      <c r="M301" s="140"/>
      <c r="N301" s="140"/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  <c r="Y301" s="140"/>
      <c r="Z301" s="140"/>
      <c r="AA301" s="140"/>
    </row>
    <row r="302" spans="1:27" s="178" customFormat="1" ht="17.45" customHeight="1" x14ac:dyDescent="0.2">
      <c r="A302" s="187"/>
      <c r="E302" s="190"/>
      <c r="F302" s="146"/>
      <c r="G302" s="146"/>
      <c r="H302" s="146"/>
      <c r="I302" s="147"/>
      <c r="J302" s="140"/>
      <c r="K302" s="140"/>
      <c r="L302" s="140"/>
      <c r="M302" s="140"/>
      <c r="N302" s="140"/>
      <c r="O302" s="140"/>
      <c r="P302" s="140"/>
      <c r="Q302" s="140"/>
      <c r="R302" s="140"/>
      <c r="S302" s="140"/>
      <c r="T302" s="140"/>
      <c r="U302" s="140"/>
      <c r="V302" s="140"/>
      <c r="W302" s="140"/>
      <c r="X302" s="140"/>
      <c r="Y302" s="140"/>
      <c r="Z302" s="140"/>
      <c r="AA302" s="140"/>
    </row>
    <row r="303" spans="1:27" s="178" customFormat="1" ht="17.45" customHeight="1" x14ac:dyDescent="0.2">
      <c r="A303" s="187"/>
      <c r="E303" s="190"/>
      <c r="F303" s="146"/>
      <c r="G303" s="146"/>
      <c r="H303" s="146"/>
      <c r="I303" s="147"/>
      <c r="J303" s="140"/>
      <c r="K303" s="140"/>
      <c r="L303" s="140"/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  <c r="Y303" s="140"/>
      <c r="Z303" s="140"/>
      <c r="AA303" s="140"/>
    </row>
    <row r="304" spans="1:27" s="178" customFormat="1" ht="17.45" customHeight="1" x14ac:dyDescent="0.2">
      <c r="A304" s="187"/>
      <c r="E304" s="190"/>
      <c r="F304" s="146"/>
      <c r="G304" s="146"/>
      <c r="H304" s="146"/>
      <c r="I304" s="147"/>
      <c r="J304" s="140"/>
      <c r="K304" s="140"/>
      <c r="L304" s="140"/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  <c r="Y304" s="140"/>
      <c r="Z304" s="140"/>
      <c r="AA304" s="140"/>
    </row>
    <row r="305" spans="1:27" s="178" customFormat="1" ht="17.45" customHeight="1" x14ac:dyDescent="0.2">
      <c r="A305" s="187"/>
      <c r="E305" s="190"/>
      <c r="F305" s="146"/>
      <c r="G305" s="146"/>
      <c r="H305" s="146"/>
      <c r="I305" s="147"/>
      <c r="J305" s="140"/>
      <c r="K305" s="140"/>
      <c r="L305" s="140"/>
      <c r="M305" s="140"/>
      <c r="N305" s="140"/>
      <c r="O305" s="140"/>
      <c r="P305" s="140"/>
      <c r="Q305" s="140"/>
      <c r="R305" s="140"/>
      <c r="S305" s="140"/>
      <c r="T305" s="140"/>
      <c r="U305" s="140"/>
      <c r="V305" s="140"/>
      <c r="W305" s="140"/>
      <c r="X305" s="140"/>
      <c r="Y305" s="140"/>
      <c r="Z305" s="140"/>
      <c r="AA305" s="140"/>
    </row>
    <row r="306" spans="1:27" s="178" customFormat="1" ht="17.45" customHeight="1" x14ac:dyDescent="0.2">
      <c r="A306" s="187"/>
      <c r="E306" s="190"/>
      <c r="F306" s="146"/>
      <c r="G306" s="146"/>
      <c r="H306" s="146"/>
      <c r="I306" s="147"/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  <c r="Y306" s="140"/>
      <c r="Z306" s="140"/>
      <c r="AA306" s="140"/>
    </row>
    <row r="307" spans="1:27" s="178" customFormat="1" ht="17.45" customHeight="1" x14ac:dyDescent="0.2">
      <c r="A307" s="187"/>
      <c r="E307" s="190"/>
      <c r="F307" s="146"/>
      <c r="G307" s="146"/>
      <c r="H307" s="146"/>
      <c r="I307" s="147"/>
      <c r="J307" s="140"/>
      <c r="K307" s="140"/>
      <c r="L307" s="140"/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  <c r="Y307" s="140"/>
      <c r="Z307" s="140"/>
      <c r="AA307" s="140"/>
    </row>
    <row r="308" spans="1:27" s="178" customFormat="1" ht="17.45" customHeight="1" x14ac:dyDescent="0.2">
      <c r="A308" s="187"/>
      <c r="E308" s="190"/>
      <c r="F308" s="146"/>
      <c r="G308" s="146"/>
      <c r="H308" s="146"/>
      <c r="I308" s="147"/>
      <c r="J308" s="140"/>
      <c r="K308" s="140"/>
      <c r="L308" s="140"/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  <c r="Y308" s="140"/>
      <c r="Z308" s="140"/>
      <c r="AA308" s="140"/>
    </row>
    <row r="309" spans="1:27" s="178" customFormat="1" ht="17.45" customHeight="1" x14ac:dyDescent="0.2">
      <c r="A309" s="187"/>
      <c r="E309" s="190"/>
      <c r="F309" s="146"/>
      <c r="G309" s="146"/>
      <c r="H309" s="146"/>
      <c r="I309" s="147"/>
      <c r="J309" s="140"/>
      <c r="K309" s="140"/>
      <c r="L309" s="140"/>
      <c r="M309" s="140"/>
      <c r="N309" s="140"/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  <c r="Y309" s="140"/>
      <c r="Z309" s="140"/>
      <c r="AA309" s="140"/>
    </row>
    <row r="310" spans="1:27" s="178" customFormat="1" ht="17.45" customHeight="1" x14ac:dyDescent="0.2">
      <c r="A310" s="187"/>
      <c r="E310" s="190"/>
      <c r="F310" s="146"/>
      <c r="G310" s="146"/>
      <c r="H310" s="146"/>
      <c r="I310" s="147"/>
      <c r="J310" s="140"/>
      <c r="K310" s="140"/>
      <c r="L310" s="140"/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  <c r="Y310" s="140"/>
      <c r="Z310" s="140"/>
      <c r="AA310" s="140"/>
    </row>
    <row r="311" spans="1:27" s="178" customFormat="1" ht="17.45" customHeight="1" x14ac:dyDescent="0.2">
      <c r="A311" s="187"/>
      <c r="E311" s="190"/>
      <c r="F311" s="146"/>
      <c r="G311" s="146"/>
      <c r="H311" s="146"/>
      <c r="I311" s="147"/>
      <c r="J311" s="140"/>
      <c r="K311" s="140"/>
      <c r="L311" s="140"/>
      <c r="M311" s="140"/>
      <c r="N311" s="140"/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  <c r="Y311" s="140"/>
      <c r="Z311" s="140"/>
      <c r="AA311" s="140"/>
    </row>
    <row r="312" spans="1:27" s="178" customFormat="1" ht="17.45" customHeight="1" x14ac:dyDescent="0.2">
      <c r="A312" s="187"/>
      <c r="E312" s="190"/>
      <c r="F312" s="146"/>
      <c r="G312" s="146"/>
      <c r="H312" s="146"/>
      <c r="I312" s="147"/>
      <c r="J312" s="140"/>
      <c r="K312" s="140"/>
      <c r="L312" s="140"/>
      <c r="M312" s="140"/>
      <c r="N312" s="140"/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  <c r="Y312" s="140"/>
      <c r="Z312" s="140"/>
      <c r="AA312" s="140"/>
    </row>
    <row r="313" spans="1:27" s="178" customFormat="1" ht="17.45" customHeight="1" x14ac:dyDescent="0.2">
      <c r="A313" s="187"/>
      <c r="E313" s="190"/>
      <c r="F313" s="146"/>
      <c r="G313" s="146"/>
      <c r="H313" s="146"/>
      <c r="I313" s="147"/>
      <c r="J313" s="140"/>
      <c r="K313" s="140"/>
      <c r="L313" s="140"/>
      <c r="M313" s="140"/>
      <c r="N313" s="140"/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  <c r="Y313" s="140"/>
      <c r="Z313" s="140"/>
      <c r="AA313" s="140"/>
    </row>
    <row r="314" spans="1:27" s="178" customFormat="1" ht="17.45" customHeight="1" x14ac:dyDescent="0.2">
      <c r="A314" s="187"/>
      <c r="E314" s="190"/>
      <c r="F314" s="146"/>
      <c r="G314" s="146"/>
      <c r="H314" s="146"/>
      <c r="I314" s="147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0"/>
    </row>
    <row r="315" spans="1:27" s="178" customFormat="1" ht="17.45" customHeight="1" x14ac:dyDescent="0.2">
      <c r="A315" s="187"/>
      <c r="E315" s="190"/>
      <c r="F315" s="146"/>
      <c r="G315" s="146"/>
      <c r="H315" s="146"/>
      <c r="I315" s="147"/>
      <c r="J315" s="140"/>
      <c r="K315" s="140"/>
      <c r="L315" s="140"/>
      <c r="M315" s="140"/>
      <c r="N315" s="140"/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  <c r="Y315" s="140"/>
      <c r="Z315" s="140"/>
      <c r="AA315" s="140"/>
    </row>
    <row r="316" spans="1:27" s="178" customFormat="1" ht="17.45" customHeight="1" x14ac:dyDescent="0.2">
      <c r="A316" s="187"/>
      <c r="E316" s="190"/>
      <c r="F316" s="146"/>
      <c r="G316" s="146"/>
      <c r="H316" s="146"/>
      <c r="I316" s="147"/>
      <c r="J316" s="140"/>
      <c r="K316" s="140"/>
      <c r="L316" s="140"/>
      <c r="M316" s="140"/>
      <c r="N316" s="140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  <c r="Y316" s="140"/>
      <c r="Z316" s="140"/>
      <c r="AA316" s="140"/>
    </row>
    <row r="317" spans="1:27" s="178" customFormat="1" ht="17.45" customHeight="1" x14ac:dyDescent="0.2">
      <c r="A317" s="187"/>
      <c r="E317" s="190"/>
      <c r="F317" s="146"/>
      <c r="G317" s="146"/>
      <c r="H317" s="146"/>
      <c r="I317" s="147"/>
      <c r="J317" s="140"/>
      <c r="K317" s="140"/>
      <c r="L317" s="140"/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  <c r="Y317" s="140"/>
      <c r="Z317" s="140"/>
      <c r="AA317" s="140"/>
    </row>
    <row r="318" spans="1:27" s="178" customFormat="1" ht="17.45" customHeight="1" x14ac:dyDescent="0.2">
      <c r="A318" s="187"/>
      <c r="E318" s="190"/>
      <c r="F318" s="146"/>
      <c r="G318" s="146"/>
      <c r="H318" s="146"/>
      <c r="I318" s="147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  <c r="AA318" s="140"/>
    </row>
    <row r="319" spans="1:27" s="178" customFormat="1" ht="17.45" customHeight="1" x14ac:dyDescent="0.2">
      <c r="A319" s="187"/>
      <c r="E319" s="190"/>
      <c r="F319" s="146"/>
      <c r="G319" s="146"/>
      <c r="H319" s="146"/>
      <c r="I319" s="147"/>
      <c r="J319" s="140"/>
      <c r="K319" s="140"/>
      <c r="L319" s="140"/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  <c r="Z319" s="140"/>
      <c r="AA319" s="140"/>
    </row>
    <row r="320" spans="1:27" s="178" customFormat="1" ht="17.45" customHeight="1" x14ac:dyDescent="0.2">
      <c r="A320" s="187"/>
      <c r="E320" s="190"/>
      <c r="F320" s="146"/>
      <c r="G320" s="146"/>
      <c r="H320" s="146"/>
      <c r="I320" s="147"/>
      <c r="J320" s="140"/>
      <c r="K320" s="140"/>
      <c r="L320" s="140"/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  <c r="Z320" s="140"/>
      <c r="AA320" s="140"/>
    </row>
    <row r="321" spans="1:27" s="178" customFormat="1" ht="17.45" customHeight="1" x14ac:dyDescent="0.2">
      <c r="A321" s="187"/>
      <c r="E321" s="190"/>
      <c r="F321" s="146"/>
      <c r="G321" s="146"/>
      <c r="H321" s="146"/>
      <c r="I321" s="147"/>
      <c r="J321" s="140"/>
      <c r="K321" s="140"/>
      <c r="L321" s="140"/>
      <c r="M321" s="140"/>
      <c r="N321" s="140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  <c r="Y321" s="140"/>
      <c r="Z321" s="140"/>
      <c r="AA321" s="140"/>
    </row>
    <row r="322" spans="1:27" s="178" customFormat="1" ht="17.45" customHeight="1" x14ac:dyDescent="0.2">
      <c r="A322" s="187"/>
      <c r="E322" s="190"/>
      <c r="F322" s="146"/>
      <c r="G322" s="146"/>
      <c r="H322" s="146"/>
      <c r="I322" s="147"/>
      <c r="J322" s="140"/>
      <c r="K322" s="140"/>
      <c r="L322" s="140"/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  <c r="AA322" s="140"/>
    </row>
    <row r="323" spans="1:27" s="178" customFormat="1" ht="17.45" customHeight="1" x14ac:dyDescent="0.2">
      <c r="A323" s="187"/>
      <c r="E323" s="190"/>
      <c r="F323" s="146"/>
      <c r="G323" s="146"/>
      <c r="H323" s="146"/>
      <c r="I323" s="147"/>
      <c r="J323" s="140"/>
      <c r="K323" s="140"/>
      <c r="L323" s="140"/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  <c r="Y323" s="140"/>
      <c r="Z323" s="140"/>
      <c r="AA323" s="140"/>
    </row>
    <row r="324" spans="1:27" s="178" customFormat="1" ht="17.45" customHeight="1" x14ac:dyDescent="0.2">
      <c r="A324" s="187"/>
      <c r="E324" s="190"/>
      <c r="F324" s="146"/>
      <c r="G324" s="146"/>
      <c r="H324" s="146"/>
      <c r="I324" s="147"/>
      <c r="J324" s="140"/>
      <c r="K324" s="140"/>
      <c r="L324" s="140"/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  <c r="Y324" s="140"/>
      <c r="Z324" s="140"/>
      <c r="AA324" s="140"/>
    </row>
    <row r="325" spans="1:27" s="178" customFormat="1" ht="17.45" customHeight="1" x14ac:dyDescent="0.2">
      <c r="A325" s="187"/>
      <c r="E325" s="190"/>
      <c r="F325" s="146"/>
      <c r="G325" s="146"/>
      <c r="H325" s="146"/>
      <c r="I325" s="147"/>
      <c r="J325" s="140"/>
      <c r="K325" s="140"/>
      <c r="L325" s="140"/>
      <c r="M325" s="140"/>
      <c r="N325" s="140"/>
      <c r="O325" s="140"/>
      <c r="P325" s="140"/>
      <c r="Q325" s="140"/>
      <c r="R325" s="140"/>
      <c r="S325" s="140"/>
      <c r="T325" s="140"/>
      <c r="U325" s="140"/>
      <c r="V325" s="140"/>
      <c r="W325" s="140"/>
      <c r="X325" s="140"/>
      <c r="Y325" s="140"/>
      <c r="Z325" s="140"/>
      <c r="AA325" s="140"/>
    </row>
    <row r="326" spans="1:27" s="178" customFormat="1" ht="17.45" customHeight="1" x14ac:dyDescent="0.2">
      <c r="A326" s="187"/>
      <c r="E326" s="190"/>
      <c r="F326" s="146"/>
      <c r="G326" s="146"/>
      <c r="H326" s="146"/>
      <c r="I326" s="147"/>
      <c r="J326" s="140"/>
      <c r="K326" s="140"/>
      <c r="L326" s="140"/>
      <c r="M326" s="140"/>
      <c r="N326" s="140"/>
      <c r="O326" s="140"/>
      <c r="P326" s="140"/>
      <c r="Q326" s="140"/>
      <c r="R326" s="140"/>
      <c r="S326" s="140"/>
      <c r="T326" s="140"/>
      <c r="U326" s="140"/>
      <c r="V326" s="140"/>
      <c r="W326" s="140"/>
      <c r="X326" s="140"/>
      <c r="Y326" s="140"/>
      <c r="Z326" s="140"/>
      <c r="AA326" s="140"/>
    </row>
    <row r="327" spans="1:27" s="178" customFormat="1" ht="17.45" customHeight="1" x14ac:dyDescent="0.2">
      <c r="A327" s="187"/>
      <c r="E327" s="190"/>
      <c r="F327" s="146"/>
      <c r="G327" s="146"/>
      <c r="H327" s="146"/>
      <c r="I327" s="147"/>
      <c r="J327" s="140"/>
      <c r="K327" s="140"/>
      <c r="L327" s="140"/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  <c r="Y327" s="140"/>
      <c r="Z327" s="140"/>
      <c r="AA327" s="140"/>
    </row>
    <row r="328" spans="1:27" s="178" customFormat="1" ht="17.45" customHeight="1" x14ac:dyDescent="0.2">
      <c r="A328" s="187"/>
      <c r="E328" s="190"/>
      <c r="F328" s="146"/>
      <c r="G328" s="146"/>
      <c r="H328" s="146"/>
      <c r="I328" s="147"/>
      <c r="J328" s="140"/>
      <c r="K328" s="140"/>
      <c r="L328" s="140"/>
      <c r="M328" s="140"/>
      <c r="N328" s="140"/>
      <c r="O328" s="140"/>
      <c r="P328" s="140"/>
      <c r="Q328" s="140"/>
      <c r="R328" s="140"/>
      <c r="S328" s="140"/>
      <c r="T328" s="140"/>
      <c r="U328" s="140"/>
      <c r="V328" s="140"/>
      <c r="W328" s="140"/>
      <c r="X328" s="140"/>
      <c r="Y328" s="140"/>
      <c r="Z328" s="140"/>
      <c r="AA328" s="140"/>
    </row>
    <row r="329" spans="1:27" s="178" customFormat="1" ht="17.45" customHeight="1" x14ac:dyDescent="0.2">
      <c r="A329" s="187"/>
      <c r="E329" s="190"/>
      <c r="F329" s="146"/>
      <c r="G329" s="146"/>
      <c r="H329" s="146"/>
      <c r="I329" s="147"/>
      <c r="J329" s="140"/>
      <c r="K329" s="140"/>
      <c r="L329" s="140"/>
      <c r="M329" s="140"/>
      <c r="N329" s="140"/>
      <c r="O329" s="140"/>
      <c r="P329" s="140"/>
      <c r="Q329" s="140"/>
      <c r="R329" s="140"/>
      <c r="S329" s="140"/>
      <c r="T329" s="140"/>
      <c r="U329" s="140"/>
      <c r="V329" s="140"/>
      <c r="W329" s="140"/>
      <c r="X329" s="140"/>
      <c r="Y329" s="140"/>
      <c r="Z329" s="140"/>
      <c r="AA329" s="140"/>
    </row>
    <row r="330" spans="1:27" s="178" customFormat="1" ht="17.45" customHeight="1" x14ac:dyDescent="0.2">
      <c r="A330" s="187"/>
      <c r="E330" s="190"/>
      <c r="F330" s="146"/>
      <c r="G330" s="146"/>
      <c r="H330" s="146"/>
      <c r="I330" s="147"/>
      <c r="J330" s="140"/>
      <c r="K330" s="140"/>
      <c r="L330" s="140"/>
      <c r="M330" s="140"/>
      <c r="N330" s="140"/>
      <c r="O330" s="140"/>
      <c r="P330" s="140"/>
      <c r="Q330" s="140"/>
      <c r="R330" s="140"/>
      <c r="S330" s="140"/>
      <c r="T330" s="140"/>
      <c r="U330" s="140"/>
      <c r="V330" s="140"/>
      <c r="W330" s="140"/>
      <c r="X330" s="140"/>
      <c r="Y330" s="140"/>
      <c r="Z330" s="140"/>
      <c r="AA330" s="140"/>
    </row>
    <row r="331" spans="1:27" s="178" customFormat="1" ht="17.45" customHeight="1" x14ac:dyDescent="0.2">
      <c r="A331" s="187"/>
      <c r="E331" s="190"/>
      <c r="F331" s="146"/>
      <c r="G331" s="146"/>
      <c r="H331" s="146"/>
      <c r="I331" s="147"/>
      <c r="J331" s="140"/>
      <c r="K331" s="140"/>
      <c r="L331" s="140"/>
      <c r="M331" s="140"/>
      <c r="N331" s="140"/>
      <c r="O331" s="140"/>
      <c r="P331" s="140"/>
      <c r="Q331" s="140"/>
      <c r="R331" s="140"/>
      <c r="S331" s="140"/>
      <c r="T331" s="140"/>
      <c r="U331" s="140"/>
      <c r="V331" s="140"/>
      <c r="W331" s="140"/>
      <c r="X331" s="140"/>
      <c r="Y331" s="140"/>
      <c r="Z331" s="140"/>
      <c r="AA331" s="140"/>
    </row>
    <row r="332" spans="1:27" s="178" customFormat="1" ht="17.45" customHeight="1" x14ac:dyDescent="0.2">
      <c r="A332" s="187"/>
      <c r="E332" s="190"/>
      <c r="F332" s="146"/>
      <c r="G332" s="146"/>
      <c r="H332" s="146"/>
      <c r="I332" s="147"/>
      <c r="J332" s="140"/>
      <c r="K332" s="140"/>
      <c r="L332" s="140"/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  <c r="W332" s="140"/>
      <c r="X332" s="140"/>
      <c r="Y332" s="140"/>
      <c r="Z332" s="140"/>
      <c r="AA332" s="140"/>
    </row>
    <row r="333" spans="1:27" s="178" customFormat="1" ht="17.45" customHeight="1" x14ac:dyDescent="0.2">
      <c r="A333" s="187"/>
      <c r="E333" s="190"/>
      <c r="F333" s="146"/>
      <c r="G333" s="146"/>
      <c r="H333" s="146"/>
      <c r="I333" s="147"/>
      <c r="J333" s="140"/>
      <c r="K333" s="140"/>
      <c r="L333" s="140"/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  <c r="Y333" s="140"/>
      <c r="Z333" s="140"/>
      <c r="AA333" s="140"/>
    </row>
    <row r="334" spans="1:27" s="178" customFormat="1" ht="17.45" customHeight="1" x14ac:dyDescent="0.2">
      <c r="A334" s="187"/>
      <c r="E334" s="190"/>
      <c r="F334" s="146"/>
      <c r="G334" s="146"/>
      <c r="H334" s="146"/>
      <c r="I334" s="147"/>
      <c r="J334" s="140"/>
      <c r="K334" s="140"/>
      <c r="L334" s="140"/>
      <c r="M334" s="140"/>
      <c r="N334" s="140"/>
      <c r="O334" s="140"/>
      <c r="P334" s="140"/>
      <c r="Q334" s="140"/>
      <c r="R334" s="140"/>
      <c r="S334" s="140"/>
      <c r="T334" s="140"/>
      <c r="U334" s="140"/>
      <c r="V334" s="140"/>
      <c r="W334" s="140"/>
      <c r="X334" s="140"/>
      <c r="Y334" s="140"/>
      <c r="Z334" s="140"/>
      <c r="AA334" s="140"/>
    </row>
    <row r="335" spans="1:27" s="178" customFormat="1" ht="17.45" customHeight="1" x14ac:dyDescent="0.2">
      <c r="A335" s="187"/>
      <c r="E335" s="190"/>
      <c r="F335" s="146"/>
      <c r="G335" s="146"/>
      <c r="H335" s="146"/>
      <c r="I335" s="147"/>
      <c r="J335" s="140"/>
      <c r="K335" s="140"/>
      <c r="L335" s="140"/>
      <c r="M335" s="140"/>
      <c r="N335" s="140"/>
      <c r="O335" s="140"/>
      <c r="P335" s="140"/>
      <c r="Q335" s="140"/>
      <c r="R335" s="140"/>
      <c r="S335" s="140"/>
      <c r="T335" s="140"/>
      <c r="U335" s="140"/>
      <c r="V335" s="140"/>
      <c r="W335" s="140"/>
      <c r="X335" s="140"/>
      <c r="Y335" s="140"/>
      <c r="Z335" s="140"/>
      <c r="AA335" s="140"/>
    </row>
    <row r="336" spans="1:27" s="178" customFormat="1" ht="17.45" customHeight="1" x14ac:dyDescent="0.2">
      <c r="A336" s="187"/>
      <c r="E336" s="190"/>
      <c r="F336" s="146"/>
      <c r="G336" s="146"/>
      <c r="H336" s="146"/>
      <c r="I336" s="147"/>
      <c r="J336" s="140"/>
      <c r="K336" s="140"/>
      <c r="L336" s="140"/>
      <c r="M336" s="140"/>
      <c r="N336" s="140"/>
      <c r="O336" s="140"/>
      <c r="P336" s="140"/>
      <c r="Q336" s="140"/>
      <c r="R336" s="140"/>
      <c r="S336" s="140"/>
      <c r="T336" s="140"/>
      <c r="U336" s="140"/>
      <c r="V336" s="140"/>
      <c r="W336" s="140"/>
      <c r="X336" s="140"/>
      <c r="Y336" s="140"/>
      <c r="Z336" s="140"/>
      <c r="AA336" s="140"/>
    </row>
    <row r="337" spans="1:27" s="178" customFormat="1" ht="17.45" customHeight="1" x14ac:dyDescent="0.2">
      <c r="A337" s="187"/>
      <c r="E337" s="190"/>
      <c r="F337" s="146"/>
      <c r="G337" s="146"/>
      <c r="H337" s="146"/>
      <c r="I337" s="147"/>
      <c r="J337" s="140"/>
      <c r="K337" s="140"/>
      <c r="L337" s="140"/>
      <c r="M337" s="140"/>
      <c r="N337" s="140"/>
      <c r="O337" s="140"/>
      <c r="P337" s="140"/>
      <c r="Q337" s="140"/>
      <c r="R337" s="140"/>
      <c r="S337" s="140"/>
      <c r="T337" s="140"/>
      <c r="U337" s="140"/>
      <c r="V337" s="140"/>
      <c r="W337" s="140"/>
      <c r="X337" s="140"/>
      <c r="Y337" s="140"/>
      <c r="Z337" s="140"/>
      <c r="AA337" s="140"/>
    </row>
    <row r="338" spans="1:27" s="178" customFormat="1" ht="17.45" customHeight="1" x14ac:dyDescent="0.2">
      <c r="A338" s="187"/>
      <c r="E338" s="190"/>
      <c r="F338" s="146"/>
      <c r="G338" s="146"/>
      <c r="H338" s="146"/>
      <c r="I338" s="147"/>
      <c r="J338" s="140"/>
      <c r="K338" s="140"/>
      <c r="L338" s="140"/>
      <c r="M338" s="140"/>
      <c r="N338" s="140"/>
      <c r="O338" s="140"/>
      <c r="P338" s="140"/>
      <c r="Q338" s="140"/>
      <c r="R338" s="140"/>
      <c r="S338" s="140"/>
      <c r="T338" s="140"/>
      <c r="U338" s="140"/>
      <c r="V338" s="140"/>
      <c r="W338" s="140"/>
      <c r="X338" s="140"/>
      <c r="Y338" s="140"/>
      <c r="Z338" s="140"/>
      <c r="AA338" s="140"/>
    </row>
    <row r="339" spans="1:27" s="178" customFormat="1" ht="17.45" customHeight="1" x14ac:dyDescent="0.2">
      <c r="A339" s="187"/>
      <c r="E339" s="190"/>
      <c r="F339" s="146"/>
      <c r="G339" s="146"/>
      <c r="H339" s="146"/>
      <c r="I339" s="147"/>
      <c r="J339" s="140"/>
      <c r="K339" s="140"/>
      <c r="L339" s="140"/>
      <c r="M339" s="140"/>
      <c r="N339" s="140"/>
      <c r="O339" s="140"/>
      <c r="P339" s="140"/>
      <c r="Q339" s="140"/>
      <c r="R339" s="140"/>
      <c r="S339" s="140"/>
      <c r="T339" s="140"/>
      <c r="U339" s="140"/>
      <c r="V339" s="140"/>
      <c r="W339" s="140"/>
      <c r="X339" s="140"/>
      <c r="Y339" s="140"/>
      <c r="Z339" s="140"/>
      <c r="AA339" s="140"/>
    </row>
    <row r="340" spans="1:27" s="178" customFormat="1" ht="17.45" customHeight="1" x14ac:dyDescent="0.2">
      <c r="A340" s="187"/>
      <c r="E340" s="190"/>
      <c r="F340" s="146"/>
      <c r="G340" s="146"/>
      <c r="H340" s="146"/>
      <c r="I340" s="147"/>
      <c r="J340" s="140"/>
      <c r="K340" s="140"/>
      <c r="L340" s="140"/>
      <c r="M340" s="140"/>
      <c r="N340" s="140"/>
      <c r="O340" s="140"/>
      <c r="P340" s="140"/>
      <c r="Q340" s="140"/>
      <c r="R340" s="140"/>
      <c r="S340" s="140"/>
      <c r="T340" s="140"/>
      <c r="U340" s="140"/>
      <c r="V340" s="140"/>
      <c r="W340" s="140"/>
      <c r="X340" s="140"/>
      <c r="Y340" s="140"/>
      <c r="Z340" s="140"/>
      <c r="AA340" s="140"/>
    </row>
    <row r="341" spans="1:27" s="178" customFormat="1" ht="17.45" customHeight="1" x14ac:dyDescent="0.2">
      <c r="A341" s="187"/>
      <c r="E341" s="190"/>
      <c r="F341" s="146"/>
      <c r="G341" s="146"/>
      <c r="H341" s="146"/>
      <c r="I341" s="147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0"/>
    </row>
    <row r="342" spans="1:27" s="178" customFormat="1" ht="17.45" customHeight="1" x14ac:dyDescent="0.2">
      <c r="A342" s="187"/>
      <c r="E342" s="190"/>
      <c r="F342" s="146"/>
      <c r="G342" s="146"/>
      <c r="H342" s="146"/>
      <c r="I342" s="147"/>
      <c r="J342" s="140"/>
      <c r="K342" s="140"/>
      <c r="L342" s="140"/>
      <c r="M342" s="140"/>
      <c r="N342" s="140"/>
      <c r="O342" s="140"/>
      <c r="P342" s="140"/>
      <c r="Q342" s="140"/>
      <c r="R342" s="140"/>
      <c r="S342" s="140"/>
      <c r="T342" s="140"/>
      <c r="U342" s="140"/>
      <c r="V342" s="140"/>
      <c r="W342" s="140"/>
      <c r="X342" s="140"/>
      <c r="Y342" s="140"/>
      <c r="Z342" s="140"/>
      <c r="AA342" s="140"/>
    </row>
    <row r="343" spans="1:27" s="178" customFormat="1" ht="17.45" customHeight="1" x14ac:dyDescent="0.2">
      <c r="A343" s="187"/>
      <c r="E343" s="190"/>
      <c r="F343" s="146"/>
      <c r="G343" s="146"/>
      <c r="H343" s="146"/>
      <c r="I343" s="147"/>
      <c r="J343" s="140"/>
      <c r="K343" s="140"/>
      <c r="L343" s="140"/>
      <c r="M343" s="140"/>
      <c r="N343" s="140"/>
      <c r="O343" s="140"/>
      <c r="P343" s="140"/>
      <c r="Q343" s="140"/>
      <c r="R343" s="140"/>
      <c r="S343" s="140"/>
      <c r="T343" s="140"/>
      <c r="U343" s="140"/>
      <c r="V343" s="140"/>
      <c r="W343" s="140"/>
      <c r="X343" s="140"/>
      <c r="Y343" s="140"/>
      <c r="Z343" s="140"/>
      <c r="AA343" s="140"/>
    </row>
    <row r="344" spans="1:27" s="178" customFormat="1" ht="17.45" customHeight="1" x14ac:dyDescent="0.2">
      <c r="A344" s="187"/>
      <c r="E344" s="190"/>
      <c r="F344" s="146"/>
      <c r="G344" s="146"/>
      <c r="H344" s="146"/>
      <c r="I344" s="147"/>
      <c r="J344" s="140"/>
      <c r="K344" s="140"/>
      <c r="L344" s="140"/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  <c r="W344" s="140"/>
      <c r="X344" s="140"/>
      <c r="Y344" s="140"/>
      <c r="Z344" s="140"/>
      <c r="AA344" s="140"/>
    </row>
    <row r="345" spans="1:27" s="178" customFormat="1" ht="17.45" customHeight="1" x14ac:dyDescent="0.2">
      <c r="A345" s="187"/>
      <c r="E345" s="190"/>
      <c r="F345" s="146"/>
      <c r="G345" s="146"/>
      <c r="H345" s="146"/>
      <c r="I345" s="147"/>
      <c r="J345" s="140"/>
      <c r="K345" s="140"/>
      <c r="L345" s="140"/>
      <c r="M345" s="140"/>
      <c r="N345" s="140"/>
      <c r="O345" s="140"/>
      <c r="P345" s="140"/>
      <c r="Q345" s="140"/>
      <c r="R345" s="140"/>
      <c r="S345" s="140"/>
      <c r="T345" s="140"/>
      <c r="U345" s="140"/>
      <c r="V345" s="140"/>
      <c r="W345" s="140"/>
      <c r="X345" s="140"/>
      <c r="Y345" s="140"/>
      <c r="Z345" s="140"/>
      <c r="AA345" s="140"/>
    </row>
    <row r="346" spans="1:27" s="178" customFormat="1" ht="17.45" customHeight="1" x14ac:dyDescent="0.2">
      <c r="A346" s="187"/>
      <c r="E346" s="190"/>
      <c r="F346" s="146"/>
      <c r="G346" s="146"/>
      <c r="H346" s="146"/>
      <c r="I346" s="147"/>
      <c r="J346" s="140"/>
      <c r="K346" s="140"/>
      <c r="L346" s="140"/>
      <c r="M346" s="140"/>
      <c r="N346" s="140"/>
      <c r="O346" s="140"/>
      <c r="P346" s="140"/>
      <c r="Q346" s="140"/>
      <c r="R346" s="140"/>
      <c r="S346" s="140"/>
      <c r="T346" s="140"/>
      <c r="U346" s="140"/>
      <c r="V346" s="140"/>
      <c r="W346" s="140"/>
      <c r="X346" s="140"/>
      <c r="Y346" s="140"/>
      <c r="Z346" s="140"/>
      <c r="AA346" s="140"/>
    </row>
    <row r="347" spans="1:27" s="178" customFormat="1" ht="17.45" customHeight="1" x14ac:dyDescent="0.2">
      <c r="A347" s="187"/>
      <c r="E347" s="190"/>
      <c r="F347" s="146"/>
      <c r="G347" s="146"/>
      <c r="H347" s="146"/>
      <c r="I347" s="147"/>
      <c r="J347" s="140"/>
      <c r="K347" s="140"/>
      <c r="L347" s="140"/>
      <c r="M347" s="140"/>
      <c r="N347" s="140"/>
      <c r="O347" s="140"/>
      <c r="P347" s="140"/>
      <c r="Q347" s="140"/>
      <c r="R347" s="140"/>
      <c r="S347" s="140"/>
      <c r="T347" s="140"/>
      <c r="U347" s="140"/>
      <c r="V347" s="140"/>
      <c r="W347" s="140"/>
      <c r="X347" s="140"/>
      <c r="Y347" s="140"/>
      <c r="Z347" s="140"/>
      <c r="AA347" s="140"/>
    </row>
    <row r="348" spans="1:27" s="178" customFormat="1" ht="17.45" customHeight="1" x14ac:dyDescent="0.2">
      <c r="A348" s="187"/>
      <c r="E348" s="190"/>
      <c r="F348" s="146"/>
      <c r="G348" s="146"/>
      <c r="H348" s="146"/>
      <c r="I348" s="147"/>
      <c r="J348" s="140"/>
      <c r="K348" s="140"/>
      <c r="L348" s="140"/>
      <c r="M348" s="140"/>
      <c r="N348" s="140"/>
      <c r="O348" s="140"/>
      <c r="P348" s="140"/>
      <c r="Q348" s="140"/>
      <c r="R348" s="140"/>
      <c r="S348" s="140"/>
      <c r="T348" s="140"/>
      <c r="U348" s="140"/>
      <c r="V348" s="140"/>
      <c r="W348" s="140"/>
      <c r="X348" s="140"/>
      <c r="Y348" s="140"/>
      <c r="Z348" s="140"/>
      <c r="AA348" s="140"/>
    </row>
    <row r="349" spans="1:27" s="178" customFormat="1" ht="17.45" customHeight="1" x14ac:dyDescent="0.2">
      <c r="A349" s="187"/>
      <c r="E349" s="190"/>
      <c r="F349" s="146"/>
      <c r="G349" s="146"/>
      <c r="H349" s="146"/>
      <c r="I349" s="147"/>
      <c r="J349" s="140"/>
      <c r="K349" s="140"/>
      <c r="L349" s="140"/>
      <c r="M349" s="140"/>
      <c r="N349" s="140"/>
      <c r="O349" s="140"/>
      <c r="P349" s="140"/>
      <c r="Q349" s="140"/>
      <c r="R349" s="140"/>
      <c r="S349" s="140"/>
      <c r="T349" s="140"/>
      <c r="U349" s="140"/>
      <c r="V349" s="140"/>
      <c r="W349" s="140"/>
      <c r="X349" s="140"/>
      <c r="Y349" s="140"/>
      <c r="Z349" s="140"/>
      <c r="AA349" s="140"/>
    </row>
    <row r="350" spans="1:27" s="178" customFormat="1" ht="17.45" customHeight="1" x14ac:dyDescent="0.2">
      <c r="A350" s="187"/>
      <c r="E350" s="190"/>
      <c r="F350" s="146"/>
      <c r="G350" s="146"/>
      <c r="H350" s="146"/>
      <c r="I350" s="147"/>
      <c r="J350" s="140"/>
      <c r="K350" s="140"/>
      <c r="L350" s="140"/>
      <c r="M350" s="140"/>
      <c r="N350" s="140"/>
      <c r="O350" s="140"/>
      <c r="P350" s="140"/>
      <c r="Q350" s="140"/>
      <c r="R350" s="140"/>
      <c r="S350" s="140"/>
      <c r="T350" s="140"/>
      <c r="U350" s="140"/>
      <c r="V350" s="140"/>
      <c r="W350" s="140"/>
      <c r="X350" s="140"/>
      <c r="Y350" s="140"/>
      <c r="Z350" s="140"/>
      <c r="AA350" s="140"/>
    </row>
    <row r="351" spans="1:27" s="178" customFormat="1" ht="17.45" customHeight="1" x14ac:dyDescent="0.2">
      <c r="A351" s="187"/>
      <c r="E351" s="190"/>
      <c r="F351" s="146"/>
      <c r="G351" s="146"/>
      <c r="H351" s="146"/>
      <c r="I351" s="147"/>
      <c r="J351" s="140"/>
      <c r="K351" s="140"/>
      <c r="L351" s="140"/>
      <c r="M351" s="140"/>
      <c r="N351" s="140"/>
      <c r="O351" s="140"/>
      <c r="P351" s="140"/>
      <c r="Q351" s="140"/>
      <c r="R351" s="140"/>
      <c r="S351" s="140"/>
      <c r="T351" s="140"/>
      <c r="U351" s="140"/>
      <c r="V351" s="140"/>
      <c r="W351" s="140"/>
      <c r="X351" s="140"/>
      <c r="Y351" s="140"/>
      <c r="Z351" s="140"/>
      <c r="AA351" s="140"/>
    </row>
    <row r="352" spans="1:27" s="178" customFormat="1" ht="17.45" customHeight="1" x14ac:dyDescent="0.2">
      <c r="A352" s="187"/>
      <c r="E352" s="190"/>
      <c r="F352" s="146"/>
      <c r="G352" s="146"/>
      <c r="H352" s="146"/>
      <c r="I352" s="147"/>
      <c r="J352" s="140"/>
      <c r="K352" s="140"/>
      <c r="L352" s="140"/>
      <c r="M352" s="140"/>
      <c r="N352" s="140"/>
      <c r="O352" s="140"/>
      <c r="P352" s="140"/>
      <c r="Q352" s="140"/>
      <c r="R352" s="140"/>
      <c r="S352" s="140"/>
      <c r="T352" s="140"/>
      <c r="U352" s="140"/>
      <c r="V352" s="140"/>
      <c r="W352" s="140"/>
      <c r="X352" s="140"/>
      <c r="Y352" s="140"/>
      <c r="Z352" s="140"/>
      <c r="AA352" s="140"/>
    </row>
    <row r="353" spans="1:27" s="178" customFormat="1" ht="17.45" customHeight="1" x14ac:dyDescent="0.2">
      <c r="A353" s="187"/>
      <c r="E353" s="190"/>
      <c r="F353" s="146"/>
      <c r="G353" s="146"/>
      <c r="H353" s="146"/>
      <c r="I353" s="147"/>
      <c r="J353" s="140"/>
      <c r="K353" s="140"/>
      <c r="L353" s="140"/>
      <c r="M353" s="140"/>
      <c r="N353" s="140"/>
      <c r="O353" s="140"/>
      <c r="P353" s="140"/>
      <c r="Q353" s="140"/>
      <c r="R353" s="140"/>
      <c r="S353" s="140"/>
      <c r="T353" s="140"/>
      <c r="U353" s="140"/>
      <c r="V353" s="140"/>
      <c r="W353" s="140"/>
      <c r="X353" s="140"/>
      <c r="Y353" s="140"/>
      <c r="Z353" s="140"/>
      <c r="AA353" s="140"/>
    </row>
    <row r="354" spans="1:27" s="178" customFormat="1" ht="17.45" customHeight="1" x14ac:dyDescent="0.2">
      <c r="A354" s="187"/>
      <c r="E354" s="190"/>
      <c r="F354" s="146"/>
      <c r="G354" s="146"/>
      <c r="H354" s="146"/>
      <c r="I354" s="147"/>
      <c r="J354" s="140"/>
      <c r="K354" s="140"/>
      <c r="L354" s="140"/>
      <c r="M354" s="140"/>
      <c r="N354" s="140"/>
      <c r="O354" s="140"/>
      <c r="P354" s="140"/>
      <c r="Q354" s="140"/>
      <c r="R354" s="140"/>
      <c r="S354" s="140"/>
      <c r="T354" s="140"/>
      <c r="U354" s="140"/>
      <c r="V354" s="140"/>
      <c r="W354" s="140"/>
      <c r="X354" s="140"/>
      <c r="Y354" s="140"/>
      <c r="Z354" s="140"/>
      <c r="AA354" s="140"/>
    </row>
    <row r="355" spans="1:27" s="178" customFormat="1" ht="17.45" customHeight="1" x14ac:dyDescent="0.2">
      <c r="A355" s="187"/>
      <c r="E355" s="190"/>
      <c r="F355" s="146"/>
      <c r="G355" s="146"/>
      <c r="H355" s="146"/>
      <c r="I355" s="147"/>
      <c r="J355" s="140"/>
      <c r="K355" s="140"/>
      <c r="L355" s="140"/>
      <c r="M355" s="140"/>
      <c r="N355" s="140"/>
      <c r="O355" s="140"/>
      <c r="P355" s="140"/>
      <c r="Q355" s="140"/>
      <c r="R355" s="140"/>
      <c r="S355" s="140"/>
      <c r="T355" s="140"/>
      <c r="U355" s="140"/>
      <c r="V355" s="140"/>
      <c r="W355" s="140"/>
      <c r="X355" s="140"/>
      <c r="Y355" s="140"/>
      <c r="Z355" s="140"/>
      <c r="AA355" s="140"/>
    </row>
    <row r="356" spans="1:27" s="178" customFormat="1" ht="17.45" customHeight="1" x14ac:dyDescent="0.2">
      <c r="A356" s="187"/>
      <c r="E356" s="190"/>
      <c r="F356" s="146"/>
      <c r="G356" s="146"/>
      <c r="H356" s="146"/>
      <c r="I356" s="147"/>
      <c r="J356" s="140"/>
      <c r="K356" s="140"/>
      <c r="L356" s="140"/>
      <c r="M356" s="140"/>
      <c r="N356" s="140"/>
      <c r="O356" s="140"/>
      <c r="P356" s="140"/>
      <c r="Q356" s="140"/>
      <c r="R356" s="140"/>
      <c r="S356" s="140"/>
      <c r="T356" s="140"/>
      <c r="U356" s="140"/>
      <c r="V356" s="140"/>
      <c r="W356" s="140"/>
      <c r="X356" s="140"/>
      <c r="Y356" s="140"/>
      <c r="Z356" s="140"/>
      <c r="AA356" s="140"/>
    </row>
    <row r="357" spans="1:27" s="178" customFormat="1" ht="17.45" customHeight="1" x14ac:dyDescent="0.2">
      <c r="A357" s="187"/>
      <c r="E357" s="190"/>
      <c r="F357" s="146"/>
      <c r="G357" s="146"/>
      <c r="H357" s="146"/>
      <c r="I357" s="147"/>
      <c r="J357" s="140"/>
      <c r="K357" s="140"/>
      <c r="L357" s="140"/>
      <c r="M357" s="140"/>
      <c r="N357" s="140"/>
      <c r="O357" s="140"/>
      <c r="P357" s="140"/>
      <c r="Q357" s="140"/>
      <c r="R357" s="140"/>
      <c r="S357" s="140"/>
      <c r="T357" s="140"/>
      <c r="U357" s="140"/>
      <c r="V357" s="140"/>
      <c r="W357" s="140"/>
      <c r="X357" s="140"/>
      <c r="Y357" s="140"/>
      <c r="Z357" s="140"/>
      <c r="AA357" s="140"/>
    </row>
    <row r="358" spans="1:27" s="178" customFormat="1" ht="17.45" customHeight="1" x14ac:dyDescent="0.2">
      <c r="A358" s="187"/>
      <c r="E358" s="190"/>
      <c r="F358" s="146"/>
      <c r="G358" s="146"/>
      <c r="H358" s="146"/>
      <c r="I358" s="147"/>
      <c r="J358" s="140"/>
      <c r="K358" s="140"/>
      <c r="L358" s="140"/>
      <c r="M358" s="140"/>
      <c r="N358" s="140"/>
      <c r="O358" s="140"/>
      <c r="P358" s="140"/>
      <c r="Q358" s="140"/>
      <c r="R358" s="140"/>
      <c r="S358" s="140"/>
      <c r="T358" s="140"/>
      <c r="U358" s="140"/>
      <c r="V358" s="140"/>
      <c r="W358" s="140"/>
      <c r="X358" s="140"/>
      <c r="Y358" s="140"/>
      <c r="Z358" s="140"/>
      <c r="AA358" s="140"/>
    </row>
    <row r="359" spans="1:27" s="178" customFormat="1" ht="17.45" customHeight="1" x14ac:dyDescent="0.2">
      <c r="A359" s="187"/>
      <c r="E359" s="190"/>
      <c r="F359" s="146"/>
      <c r="G359" s="146"/>
      <c r="H359" s="146"/>
      <c r="I359" s="147"/>
      <c r="J359" s="140"/>
      <c r="K359" s="140"/>
      <c r="L359" s="140"/>
      <c r="M359" s="140"/>
      <c r="N359" s="140"/>
      <c r="O359" s="140"/>
      <c r="P359" s="140"/>
      <c r="Q359" s="140"/>
      <c r="R359" s="140"/>
      <c r="S359" s="140"/>
      <c r="T359" s="140"/>
      <c r="U359" s="140"/>
      <c r="V359" s="140"/>
      <c r="W359" s="140"/>
      <c r="X359" s="140"/>
      <c r="Y359" s="140"/>
      <c r="Z359" s="140"/>
      <c r="AA359" s="140"/>
    </row>
    <row r="360" spans="1:27" s="178" customFormat="1" ht="17.45" customHeight="1" x14ac:dyDescent="0.2">
      <c r="A360" s="187"/>
      <c r="E360" s="190"/>
      <c r="F360" s="146"/>
      <c r="G360" s="146"/>
      <c r="H360" s="146"/>
      <c r="I360" s="147"/>
      <c r="J360" s="140"/>
      <c r="K360" s="140"/>
      <c r="L360" s="140"/>
      <c r="M360" s="140"/>
      <c r="N360" s="140"/>
      <c r="O360" s="140"/>
      <c r="P360" s="140"/>
      <c r="Q360" s="140"/>
      <c r="R360" s="140"/>
      <c r="S360" s="140"/>
      <c r="T360" s="140"/>
      <c r="U360" s="140"/>
      <c r="V360" s="140"/>
      <c r="W360" s="140"/>
      <c r="X360" s="140"/>
      <c r="Y360" s="140"/>
      <c r="Z360" s="140"/>
      <c r="AA360" s="140"/>
    </row>
    <row r="361" spans="1:27" s="178" customFormat="1" ht="17.45" customHeight="1" x14ac:dyDescent="0.2">
      <c r="A361" s="187"/>
      <c r="E361" s="190"/>
      <c r="F361" s="146"/>
      <c r="G361" s="146"/>
      <c r="H361" s="146"/>
      <c r="I361" s="147"/>
      <c r="J361" s="140"/>
      <c r="K361" s="140"/>
      <c r="L361" s="140"/>
      <c r="M361" s="140"/>
      <c r="N361" s="140"/>
      <c r="O361" s="140"/>
      <c r="P361" s="140"/>
      <c r="Q361" s="140"/>
      <c r="R361" s="140"/>
      <c r="S361" s="140"/>
      <c r="T361" s="140"/>
      <c r="U361" s="140"/>
      <c r="V361" s="140"/>
      <c r="W361" s="140"/>
      <c r="X361" s="140"/>
      <c r="Y361" s="140"/>
      <c r="Z361" s="140"/>
      <c r="AA361" s="140"/>
    </row>
    <row r="362" spans="1:27" s="178" customFormat="1" ht="17.45" customHeight="1" x14ac:dyDescent="0.2">
      <c r="A362" s="187"/>
      <c r="E362" s="190"/>
      <c r="F362" s="146"/>
      <c r="G362" s="146"/>
      <c r="H362" s="146"/>
      <c r="I362" s="147"/>
      <c r="J362" s="140"/>
      <c r="K362" s="140"/>
      <c r="L362" s="140"/>
      <c r="M362" s="140"/>
      <c r="N362" s="140"/>
      <c r="O362" s="140"/>
      <c r="P362" s="140"/>
      <c r="Q362" s="140"/>
      <c r="R362" s="140"/>
      <c r="S362" s="140"/>
      <c r="T362" s="140"/>
      <c r="U362" s="140"/>
      <c r="V362" s="140"/>
      <c r="W362" s="140"/>
      <c r="X362" s="140"/>
      <c r="Y362" s="140"/>
      <c r="Z362" s="140"/>
      <c r="AA362" s="140"/>
    </row>
    <row r="363" spans="1:27" s="178" customFormat="1" ht="17.45" customHeight="1" x14ac:dyDescent="0.2">
      <c r="A363" s="187"/>
      <c r="E363" s="190"/>
      <c r="F363" s="146"/>
      <c r="G363" s="146"/>
      <c r="H363" s="146"/>
      <c r="I363" s="147"/>
      <c r="J363" s="140"/>
      <c r="K363" s="140"/>
      <c r="L363" s="140"/>
      <c r="M363" s="140"/>
      <c r="N363" s="140"/>
      <c r="O363" s="140"/>
      <c r="P363" s="140"/>
      <c r="Q363" s="140"/>
      <c r="R363" s="140"/>
      <c r="S363" s="140"/>
      <c r="T363" s="140"/>
      <c r="U363" s="140"/>
      <c r="V363" s="140"/>
      <c r="W363" s="140"/>
      <c r="X363" s="140"/>
      <c r="Y363" s="140"/>
      <c r="Z363" s="140"/>
      <c r="AA363" s="140"/>
    </row>
    <row r="364" spans="1:27" s="178" customFormat="1" ht="17.45" customHeight="1" x14ac:dyDescent="0.2">
      <c r="A364" s="187"/>
      <c r="E364" s="190"/>
      <c r="F364" s="146"/>
      <c r="G364" s="146"/>
      <c r="H364" s="146"/>
      <c r="I364" s="147"/>
      <c r="J364" s="140"/>
      <c r="K364" s="140"/>
      <c r="L364" s="140"/>
      <c r="M364" s="140"/>
      <c r="N364" s="140"/>
      <c r="O364" s="140"/>
      <c r="P364" s="140"/>
      <c r="Q364" s="140"/>
      <c r="R364" s="140"/>
      <c r="S364" s="140"/>
      <c r="T364" s="140"/>
      <c r="U364" s="140"/>
      <c r="V364" s="140"/>
      <c r="W364" s="140"/>
      <c r="X364" s="140"/>
      <c r="Y364" s="140"/>
      <c r="Z364" s="140"/>
      <c r="AA364" s="140"/>
    </row>
    <row r="365" spans="1:27" s="178" customFormat="1" ht="17.45" customHeight="1" x14ac:dyDescent="0.2">
      <c r="A365" s="187"/>
      <c r="E365" s="190"/>
      <c r="F365" s="146"/>
      <c r="G365" s="146"/>
      <c r="H365" s="146"/>
      <c r="I365" s="147"/>
      <c r="J365" s="140"/>
      <c r="K365" s="140"/>
      <c r="L365" s="140"/>
      <c r="M365" s="140"/>
      <c r="N365" s="140"/>
      <c r="O365" s="140"/>
      <c r="P365" s="140"/>
      <c r="Q365" s="140"/>
      <c r="R365" s="140"/>
      <c r="S365" s="140"/>
      <c r="T365" s="140"/>
      <c r="U365" s="140"/>
      <c r="V365" s="140"/>
      <c r="W365" s="140"/>
      <c r="X365" s="140"/>
      <c r="Y365" s="140"/>
      <c r="Z365" s="140"/>
      <c r="AA365" s="140"/>
    </row>
    <row r="366" spans="1:27" s="178" customFormat="1" ht="17.45" customHeight="1" x14ac:dyDescent="0.2">
      <c r="A366" s="187"/>
      <c r="E366" s="190"/>
      <c r="F366" s="146"/>
      <c r="G366" s="146"/>
      <c r="H366" s="146"/>
      <c r="I366" s="147"/>
      <c r="J366" s="140"/>
      <c r="K366" s="140"/>
      <c r="L366" s="140"/>
      <c r="M366" s="140"/>
      <c r="N366" s="140"/>
      <c r="O366" s="140"/>
      <c r="P366" s="140"/>
      <c r="Q366" s="140"/>
      <c r="R366" s="140"/>
      <c r="S366" s="140"/>
      <c r="T366" s="140"/>
      <c r="U366" s="140"/>
      <c r="V366" s="140"/>
      <c r="W366" s="140"/>
      <c r="X366" s="140"/>
      <c r="Y366" s="140"/>
      <c r="Z366" s="140"/>
      <c r="AA366" s="140"/>
    </row>
    <row r="367" spans="1:27" s="178" customFormat="1" ht="17.45" customHeight="1" x14ac:dyDescent="0.2">
      <c r="A367" s="187"/>
      <c r="E367" s="190"/>
      <c r="F367" s="146"/>
      <c r="G367" s="146"/>
      <c r="H367" s="146"/>
      <c r="I367" s="147"/>
      <c r="J367" s="140"/>
      <c r="K367" s="140"/>
      <c r="L367" s="140"/>
      <c r="M367" s="140"/>
      <c r="N367" s="140"/>
      <c r="O367" s="140"/>
      <c r="P367" s="140"/>
      <c r="Q367" s="140"/>
      <c r="R367" s="140"/>
      <c r="S367" s="140"/>
      <c r="T367" s="140"/>
      <c r="U367" s="140"/>
      <c r="V367" s="140"/>
      <c r="W367" s="140"/>
      <c r="X367" s="140"/>
      <c r="Y367" s="140"/>
      <c r="Z367" s="140"/>
      <c r="AA367" s="140"/>
    </row>
    <row r="368" spans="1:27" s="178" customFormat="1" ht="17.45" customHeight="1" x14ac:dyDescent="0.2">
      <c r="A368" s="187"/>
      <c r="E368" s="190"/>
      <c r="F368" s="146"/>
      <c r="G368" s="146"/>
      <c r="H368" s="146"/>
      <c r="I368" s="147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0"/>
    </row>
    <row r="369" spans="1:1" ht="17.45" customHeight="1" x14ac:dyDescent="0.2">
      <c r="A369" s="187"/>
    </row>
    <row r="370" spans="1:1" ht="17.45" customHeight="1" x14ac:dyDescent="0.2">
      <c r="A370" s="187"/>
    </row>
    <row r="371" spans="1:1" ht="17.45" customHeight="1" x14ac:dyDescent="0.2">
      <c r="A371" s="187"/>
    </row>
    <row r="372" spans="1:1" ht="17.45" customHeight="1" x14ac:dyDescent="0.2">
      <c r="A372" s="187"/>
    </row>
    <row r="373" spans="1:1" ht="17.45" customHeight="1" x14ac:dyDescent="0.2">
      <c r="A373" s="187"/>
    </row>
    <row r="374" spans="1:1" ht="17.45" customHeight="1" x14ac:dyDescent="0.2">
      <c r="A374" s="187"/>
    </row>
    <row r="375" spans="1:1" ht="17.45" customHeight="1" x14ac:dyDescent="0.2">
      <c r="A375" s="187"/>
    </row>
    <row r="376" spans="1:1" ht="17.45" customHeight="1" x14ac:dyDescent="0.2">
      <c r="A376" s="187"/>
    </row>
    <row r="377" spans="1:1" ht="17.45" customHeight="1" x14ac:dyDescent="0.2">
      <c r="A377" s="187"/>
    </row>
    <row r="378" spans="1:1" ht="17.45" customHeight="1" x14ac:dyDescent="0.2">
      <c r="A378" s="187"/>
    </row>
    <row r="379" spans="1:1" ht="17.45" customHeight="1" x14ac:dyDescent="0.2">
      <c r="A379" s="187"/>
    </row>
    <row r="380" spans="1:1" ht="17.45" customHeight="1" x14ac:dyDescent="0.2">
      <c r="A380" s="187"/>
    </row>
    <row r="381" spans="1:1" ht="17.45" customHeight="1" x14ac:dyDescent="0.2">
      <c r="A381" s="187"/>
    </row>
    <row r="382" spans="1:1" ht="17.45" customHeight="1" x14ac:dyDescent="0.2">
      <c r="A382" s="187"/>
    </row>
    <row r="383" spans="1:1" ht="17.45" customHeight="1" x14ac:dyDescent="0.2">
      <c r="A383" s="187"/>
    </row>
    <row r="384" spans="1:1" ht="17.45" customHeight="1" x14ac:dyDescent="0.2">
      <c r="A384" s="187"/>
    </row>
    <row r="385" spans="1:1" ht="17.45" customHeight="1" x14ac:dyDescent="0.2">
      <c r="A385" s="187"/>
    </row>
    <row r="386" spans="1:1" ht="17.45" customHeight="1" x14ac:dyDescent="0.2">
      <c r="A386" s="187"/>
    </row>
    <row r="387" spans="1:1" ht="17.45" customHeight="1" x14ac:dyDescent="0.2">
      <c r="A387" s="187"/>
    </row>
    <row r="388" spans="1:1" ht="17.45" customHeight="1" x14ac:dyDescent="0.2">
      <c r="A388" s="187"/>
    </row>
    <row r="389" spans="1:1" ht="17.45" customHeight="1" x14ac:dyDescent="0.2">
      <c r="A389" s="187"/>
    </row>
    <row r="390" spans="1:1" ht="17.45" customHeight="1" x14ac:dyDescent="0.2">
      <c r="A390" s="187"/>
    </row>
    <row r="391" spans="1:1" ht="17.45" customHeight="1" x14ac:dyDescent="0.2">
      <c r="A391" s="187"/>
    </row>
    <row r="392" spans="1:1" ht="17.45" customHeight="1" x14ac:dyDescent="0.2">
      <c r="A392" s="187"/>
    </row>
    <row r="393" spans="1:1" ht="17.45" customHeight="1" x14ac:dyDescent="0.2">
      <c r="A393" s="187"/>
    </row>
    <row r="394" spans="1:1" ht="17.45" customHeight="1" x14ac:dyDescent="0.2">
      <c r="A394" s="187"/>
    </row>
    <row r="395" spans="1:1" ht="17.45" customHeight="1" x14ac:dyDescent="0.2">
      <c r="A395" s="187"/>
    </row>
    <row r="396" spans="1:1" ht="17.45" customHeight="1" x14ac:dyDescent="0.2">
      <c r="A396" s="187"/>
    </row>
    <row r="397" spans="1:1" ht="17.45" customHeight="1" x14ac:dyDescent="0.2">
      <c r="A397" s="187"/>
    </row>
    <row r="398" spans="1:1" ht="17.45" customHeight="1" x14ac:dyDescent="0.2">
      <c r="A398" s="187"/>
    </row>
    <row r="399" spans="1:1" ht="17.45" customHeight="1" x14ac:dyDescent="0.2">
      <c r="A399" s="187"/>
    </row>
    <row r="400" spans="1:1" ht="17.45" customHeight="1" x14ac:dyDescent="0.2">
      <c r="A400" s="187"/>
    </row>
    <row r="401" spans="1:1" ht="17.45" customHeight="1" x14ac:dyDescent="0.2">
      <c r="A401" s="187"/>
    </row>
    <row r="402" spans="1:1" ht="17.45" customHeight="1" x14ac:dyDescent="0.2">
      <c r="A402" s="187"/>
    </row>
    <row r="403" spans="1:1" ht="17.45" customHeight="1" x14ac:dyDescent="0.2">
      <c r="A403" s="187"/>
    </row>
    <row r="404" spans="1:1" ht="17.45" customHeight="1" x14ac:dyDescent="0.2">
      <c r="A404" s="187"/>
    </row>
    <row r="405" spans="1:1" ht="17.45" customHeight="1" x14ac:dyDescent="0.2">
      <c r="A405" s="187"/>
    </row>
    <row r="406" spans="1:1" ht="17.45" customHeight="1" x14ac:dyDescent="0.2">
      <c r="A406" s="187"/>
    </row>
    <row r="407" spans="1:1" ht="17.45" customHeight="1" x14ac:dyDescent="0.2"/>
    <row r="408" spans="1:1" ht="17.45" customHeight="1" x14ac:dyDescent="0.2"/>
  </sheetData>
  <mergeCells count="27">
    <mergeCell ref="A1:F1"/>
    <mergeCell ref="A2:F2"/>
    <mergeCell ref="A3:F3"/>
    <mergeCell ref="C5:C7"/>
    <mergeCell ref="D5:D7"/>
    <mergeCell ref="E6:E7"/>
    <mergeCell ref="A20:F20"/>
    <mergeCell ref="A21:F21"/>
    <mergeCell ref="A28:F28"/>
    <mergeCell ref="A29:F29"/>
    <mergeCell ref="A30:F30"/>
    <mergeCell ref="A31:F31"/>
    <mergeCell ref="A33:F33"/>
    <mergeCell ref="A44:F44"/>
    <mergeCell ref="E45:E46"/>
    <mergeCell ref="A78:F78"/>
    <mergeCell ref="B130:F130"/>
    <mergeCell ref="B137:F137"/>
    <mergeCell ref="A147:F147"/>
    <mergeCell ref="A79:F79"/>
    <mergeCell ref="A76:F76"/>
    <mergeCell ref="A77:F77"/>
    <mergeCell ref="A81:F81"/>
    <mergeCell ref="A127:F127"/>
    <mergeCell ref="B82:C82"/>
    <mergeCell ref="A125:F125"/>
    <mergeCell ref="A126:F1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Page 1</vt:lpstr>
      <vt:lpstr>POS Page 2</vt:lpstr>
      <vt:lpstr>OPS Page 3</vt:lpstr>
      <vt:lpstr>Prior Year</vt:lpstr>
      <vt:lpstr>'OPS Page 3'!Print_Area</vt:lpstr>
      <vt:lpstr>'Page 1'!Print_Area</vt:lpstr>
      <vt:lpstr>'POS Page 2'!Print_Area</vt:lpstr>
    </vt:vector>
  </TitlesOfParts>
  <Company>Valley Mtn. Regional Ctr.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Stiles</dc:creator>
  <cp:lastModifiedBy>Melissa Stiles</cp:lastModifiedBy>
  <cp:lastPrinted>2019-01-31T00:33:50Z</cp:lastPrinted>
  <dcterms:created xsi:type="dcterms:W3CDTF">2018-08-27T18:17:55Z</dcterms:created>
  <dcterms:modified xsi:type="dcterms:W3CDTF">2019-01-31T00:38:25Z</dcterms:modified>
</cp:coreProperties>
</file>